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2 рік\Очеретному, сайт, пайова\"/>
    </mc:Choice>
  </mc:AlternateContent>
  <bookViews>
    <workbookView xWindow="0" yWindow="0" windowWidth="28800" windowHeight="12015"/>
  </bookViews>
  <sheets>
    <sheet name="2022" sheetId="22" r:id="rId1"/>
  </sheets>
  <externalReferences>
    <externalReference r:id="rId2"/>
  </externalReferences>
  <definedNames>
    <definedName name="_xlnm.Print_Titles" localSheetId="0">'2022'!$3:$5</definedName>
    <definedName name="_xlnm.Print_Area" localSheetId="0">'2022'!$A$1:$T$102</definedName>
  </definedNames>
  <calcPr calcId="152511" refMode="R1C1"/>
</workbook>
</file>

<file path=xl/calcChain.xml><?xml version="1.0" encoding="utf-8"?>
<calcChain xmlns="http://schemas.openxmlformats.org/spreadsheetml/2006/main">
  <c r="J54" i="22" l="1"/>
  <c r="J53" i="22"/>
  <c r="N8" i="22"/>
  <c r="N77" i="22"/>
  <c r="N81" i="22"/>
  <c r="N80" i="22"/>
  <c r="N79" i="22"/>
  <c r="N74" i="22"/>
  <c r="N73" i="22"/>
  <c r="N71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2" i="22"/>
  <c r="N31" i="22"/>
  <c r="N30" i="22"/>
  <c r="N29" i="22"/>
  <c r="N28" i="22"/>
  <c r="N27" i="22"/>
  <c r="N26" i="22"/>
  <c r="N25" i="22"/>
  <c r="N24" i="22"/>
  <c r="N23" i="22"/>
  <c r="N22" i="22"/>
  <c r="N21" i="22"/>
  <c r="N20" i="22"/>
  <c r="N18" i="22"/>
  <c r="N17" i="22"/>
  <c r="N16" i="22"/>
  <c r="N15" i="22"/>
  <c r="N13" i="22"/>
  <c r="N12" i="22"/>
  <c r="N11" i="22"/>
  <c r="N10" i="22"/>
  <c r="N7" i="22"/>
  <c r="N68" i="22"/>
  <c r="I87" i="22" l="1"/>
  <c r="I86" i="22" s="1"/>
  <c r="I76" i="22"/>
  <c r="I67" i="22"/>
  <c r="I82" i="22" s="1"/>
  <c r="I63" i="22"/>
  <c r="I97" i="22" s="1"/>
  <c r="I62" i="22"/>
  <c r="I96" i="22" s="1"/>
  <c r="I95" i="22" s="1"/>
  <c r="I60" i="22"/>
  <c r="I52" i="22"/>
  <c r="I33" i="22"/>
  <c r="I19" i="22"/>
  <c r="I14" i="22"/>
  <c r="I9" i="22"/>
  <c r="I61" i="22" l="1"/>
  <c r="I58" i="22" s="1"/>
  <c r="I46" i="22"/>
  <c r="I94" i="22"/>
  <c r="I90" i="22"/>
  <c r="U38" i="22"/>
  <c r="U29" i="22"/>
  <c r="I92" i="22" l="1"/>
  <c r="I99" i="22" s="1"/>
  <c r="I109" i="22" s="1"/>
  <c r="I65" i="22"/>
  <c r="F57" i="22"/>
  <c r="O57" i="22" s="1"/>
  <c r="L57" i="22" l="1"/>
  <c r="N78" i="22" l="1"/>
  <c r="S57" i="22"/>
  <c r="R52" i="22"/>
  <c r="H87" i="22" l="1"/>
  <c r="H86" i="22" s="1"/>
  <c r="H76" i="22"/>
  <c r="H67" i="22"/>
  <c r="H82" i="22" s="1"/>
  <c r="H62" i="22"/>
  <c r="H96" i="22" s="1"/>
  <c r="H60" i="22"/>
  <c r="H52" i="22"/>
  <c r="H63" i="22" s="1"/>
  <c r="H61" i="22" s="1"/>
  <c r="H58" i="22" s="1"/>
  <c r="H33" i="22"/>
  <c r="H19" i="22"/>
  <c r="H14" i="22"/>
  <c r="H9" i="22"/>
  <c r="H90" i="22" l="1"/>
  <c r="H46" i="22"/>
  <c r="H92" i="22" s="1"/>
  <c r="H97" i="22"/>
  <c r="H95" i="22" s="1"/>
  <c r="H94" i="22"/>
  <c r="F72" i="22"/>
  <c r="S72" i="22" s="1"/>
  <c r="F70" i="22"/>
  <c r="S70" i="22" s="1"/>
  <c r="F18" i="22"/>
  <c r="S18" i="22" s="1"/>
  <c r="J9" i="22"/>
  <c r="J33" i="22"/>
  <c r="U33" i="22" s="1"/>
  <c r="J19" i="22"/>
  <c r="J14" i="22"/>
  <c r="J52" i="22"/>
  <c r="H65" i="22" l="1"/>
  <c r="O70" i="22"/>
  <c r="O72" i="22"/>
  <c r="O18" i="22"/>
  <c r="J46" i="22"/>
  <c r="H99" i="22"/>
  <c r="H109" i="22" s="1"/>
  <c r="L18" i="22"/>
  <c r="L72" i="22"/>
  <c r="N47" i="22" l="1"/>
  <c r="N48" i="22"/>
  <c r="N49" i="22"/>
  <c r="N50" i="22"/>
  <c r="N51" i="22"/>
  <c r="N53" i="22"/>
  <c r="N54" i="22"/>
  <c r="N55" i="22"/>
  <c r="N56" i="22"/>
  <c r="J87" i="22" l="1"/>
  <c r="J67" i="22"/>
  <c r="J76" i="22"/>
  <c r="J60" i="22"/>
  <c r="J62" i="22"/>
  <c r="J63" i="22"/>
  <c r="J97" i="22" s="1"/>
  <c r="F88" i="22"/>
  <c r="F84" i="22"/>
  <c r="F81" i="22"/>
  <c r="F80" i="22"/>
  <c r="F79" i="22"/>
  <c r="T79" i="22" s="1"/>
  <c r="F78" i="22"/>
  <c r="F77" i="22"/>
  <c r="F75" i="22"/>
  <c r="F74" i="22"/>
  <c r="F73" i="22"/>
  <c r="F71" i="22"/>
  <c r="F69" i="22"/>
  <c r="F68" i="22"/>
  <c r="F56" i="22"/>
  <c r="F55" i="22"/>
  <c r="F54" i="22"/>
  <c r="T54" i="22" s="1"/>
  <c r="F53" i="22"/>
  <c r="T53" i="22" s="1"/>
  <c r="F51" i="22"/>
  <c r="F50" i="22"/>
  <c r="F49" i="22"/>
  <c r="F48" i="22"/>
  <c r="F47" i="22"/>
  <c r="F45" i="22"/>
  <c r="F44" i="22"/>
  <c r="F43" i="22"/>
  <c r="F42" i="22"/>
  <c r="F41" i="22"/>
  <c r="F40" i="22"/>
  <c r="F39" i="22"/>
  <c r="F38" i="22"/>
  <c r="F37" i="22"/>
  <c r="F36" i="22"/>
  <c r="F35" i="22"/>
  <c r="F34" i="22"/>
  <c r="F32" i="22"/>
  <c r="F31" i="22"/>
  <c r="F30" i="22"/>
  <c r="F29" i="22"/>
  <c r="F28" i="22"/>
  <c r="F27" i="22"/>
  <c r="F26" i="22"/>
  <c r="F25" i="22"/>
  <c r="T25" i="22" s="1"/>
  <c r="F24" i="22"/>
  <c r="F23" i="22"/>
  <c r="F22" i="22"/>
  <c r="F21" i="22"/>
  <c r="F20" i="22"/>
  <c r="F17" i="22"/>
  <c r="F16" i="22"/>
  <c r="F15" i="22"/>
  <c r="F13" i="22"/>
  <c r="T13" i="22" s="1"/>
  <c r="F12" i="22"/>
  <c r="F11" i="22"/>
  <c r="F10" i="22"/>
  <c r="M10" i="22" s="1"/>
  <c r="F8" i="22"/>
  <c r="F7" i="22"/>
  <c r="T11" i="22" l="1"/>
  <c r="M11" i="22"/>
  <c r="T15" i="22"/>
  <c r="M15" i="22"/>
  <c r="T10" i="22"/>
  <c r="P10" i="22"/>
  <c r="T16" i="22"/>
  <c r="M16" i="22"/>
  <c r="T32" i="22"/>
  <c r="S32" i="22"/>
  <c r="J82" i="22"/>
  <c r="J92" i="22" s="1"/>
  <c r="J96" i="22"/>
  <c r="J95" i="22" s="1"/>
  <c r="J86" i="22"/>
  <c r="J61" i="22"/>
  <c r="J90" i="22" l="1"/>
  <c r="J58" i="22"/>
  <c r="J94" i="22" s="1"/>
  <c r="J99" i="22" l="1"/>
  <c r="J109" i="22" s="1"/>
  <c r="J65" i="22"/>
  <c r="T74" i="22"/>
  <c r="M79" i="22" l="1"/>
  <c r="P48" i="22"/>
  <c r="Q48" i="22"/>
  <c r="M48" i="22"/>
  <c r="G60" i="22"/>
  <c r="F60" i="22" s="1"/>
  <c r="R62" i="22"/>
  <c r="N62" i="22"/>
  <c r="K62" i="22"/>
  <c r="G62" i="22"/>
  <c r="F62" i="22" s="1"/>
  <c r="D62" i="22"/>
  <c r="T50" i="22"/>
  <c r="A48" i="22"/>
  <c r="N60" i="22" l="1"/>
  <c r="P60" i="22" s="1"/>
  <c r="N84" i="22"/>
  <c r="N87" i="22" s="1"/>
  <c r="N86" i="22" s="1"/>
  <c r="N67" i="22"/>
  <c r="Q20" i="22"/>
  <c r="Q10" i="22"/>
  <c r="N76" i="22" l="1"/>
  <c r="O10" i="22"/>
  <c r="N82" i="22"/>
  <c r="N96" i="22"/>
  <c r="L10" i="22"/>
  <c r="N90" i="22" l="1"/>
  <c r="D33" i="22" l="1"/>
  <c r="N33" i="22" s="1"/>
  <c r="S10" i="22"/>
  <c r="R9" i="22"/>
  <c r="K9" i="22"/>
  <c r="G9" i="22"/>
  <c r="F9" i="22" s="1"/>
  <c r="D9" i="22"/>
  <c r="N9" i="22" s="1"/>
  <c r="Q32" i="22" l="1"/>
  <c r="L32" i="22"/>
  <c r="M32" i="22"/>
  <c r="P32" i="22"/>
  <c r="O32" i="22"/>
  <c r="Q9" i="22"/>
  <c r="R87" i="22" l="1"/>
  <c r="R86" i="22" s="1"/>
  <c r="R76" i="22"/>
  <c r="R67" i="22"/>
  <c r="R82" i="22" s="1"/>
  <c r="R60" i="22"/>
  <c r="R63" i="22"/>
  <c r="R33" i="22"/>
  <c r="R19" i="22"/>
  <c r="R14" i="22"/>
  <c r="R46" i="22" l="1"/>
  <c r="R92" i="22" s="1"/>
  <c r="R90" i="22"/>
  <c r="R96" i="22"/>
  <c r="R97" i="22"/>
  <c r="R95" i="22" s="1"/>
  <c r="R61" i="22"/>
  <c r="R58" i="22" s="1"/>
  <c r="R94" i="22" l="1"/>
  <c r="R99" i="22" s="1"/>
  <c r="R65" i="22"/>
  <c r="K19" i="22"/>
  <c r="G19" i="22"/>
  <c r="F19" i="22" s="1"/>
  <c r="K87" i="22"/>
  <c r="K86" i="22" s="1"/>
  <c r="G87" i="22"/>
  <c r="E87" i="22"/>
  <c r="E86" i="22" s="1"/>
  <c r="K60" i="22"/>
  <c r="M60" i="22" s="1"/>
  <c r="E60" i="22"/>
  <c r="E62" i="22"/>
  <c r="K52" i="22"/>
  <c r="N52" i="22" s="1"/>
  <c r="G52" i="22"/>
  <c r="F52" i="22" s="1"/>
  <c r="T52" i="22" s="1"/>
  <c r="E52" i="22"/>
  <c r="E63" i="22" s="1"/>
  <c r="E33" i="22"/>
  <c r="E19" i="22"/>
  <c r="E14" i="22"/>
  <c r="E9" i="22"/>
  <c r="G86" i="22" l="1"/>
  <c r="F86" i="22" s="1"/>
  <c r="F87" i="22"/>
  <c r="N63" i="22"/>
  <c r="N97" i="22" s="1"/>
  <c r="N95" i="22" s="1"/>
  <c r="K63" i="22"/>
  <c r="S51" i="22"/>
  <c r="G63" i="22"/>
  <c r="F63" i="22" s="1"/>
  <c r="G96" i="22"/>
  <c r="F96" i="22" s="1"/>
  <c r="L51" i="22"/>
  <c r="O51" i="22"/>
  <c r="K96" i="22"/>
  <c r="E46" i="22"/>
  <c r="N61" i="22" l="1"/>
  <c r="N58" i="22" s="1"/>
  <c r="N94" i="22" s="1"/>
  <c r="D52" i="22"/>
  <c r="D63" i="22" s="1"/>
  <c r="Q52" i="22" l="1"/>
  <c r="E61" i="22"/>
  <c r="E58" i="22" s="1"/>
  <c r="E65" i="22" s="1"/>
  <c r="D19" i="22"/>
  <c r="N19" i="22" s="1"/>
  <c r="K61" i="22" l="1"/>
  <c r="K58" i="22" s="1"/>
  <c r="K94" i="22" s="1"/>
  <c r="K97" i="22"/>
  <c r="K95" i="22" s="1"/>
  <c r="G61" i="22"/>
  <c r="G97" i="22"/>
  <c r="G95" i="22" l="1"/>
  <c r="F95" i="22" s="1"/>
  <c r="F97" i="22"/>
  <c r="G58" i="22"/>
  <c r="F61" i="22"/>
  <c r="V90" i="22"/>
  <c r="U19" i="22"/>
  <c r="U15" i="22"/>
  <c r="G94" i="22" l="1"/>
  <c r="F94" i="22" s="1"/>
  <c r="F58" i="22"/>
  <c r="D87" i="22"/>
  <c r="D86" i="22" s="1"/>
  <c r="Q84" i="22"/>
  <c r="Q81" i="22"/>
  <c r="Q77" i="22"/>
  <c r="K76" i="22"/>
  <c r="G76" i="22"/>
  <c r="F76" i="22" s="1"/>
  <c r="D76" i="22"/>
  <c r="Q73" i="22"/>
  <c r="A74" i="22"/>
  <c r="A75" i="22" s="1"/>
  <c r="A76" i="22" s="1"/>
  <c r="T69" i="22"/>
  <c r="K67" i="22"/>
  <c r="K82" i="22" s="1"/>
  <c r="G67" i="22"/>
  <c r="F67" i="22" s="1"/>
  <c r="D67" i="22"/>
  <c r="D82" i="22" s="1"/>
  <c r="N111" i="22" s="1"/>
  <c r="D60" i="22"/>
  <c r="V52" i="22"/>
  <c r="A49" i="22"/>
  <c r="A50" i="22" s="1"/>
  <c r="A51" i="22" s="1"/>
  <c r="Q45" i="22"/>
  <c r="Q44" i="22"/>
  <c r="Q43" i="22"/>
  <c r="Q42" i="22"/>
  <c r="A39" i="22"/>
  <c r="A40" i="22" s="1"/>
  <c r="A41" i="22" s="1"/>
  <c r="A42" i="22" s="1"/>
  <c r="A43" i="22" s="1"/>
  <c r="A44" i="22" s="1"/>
  <c r="A45" i="22" s="1"/>
  <c r="Q37" i="22"/>
  <c r="Q35" i="22"/>
  <c r="K33" i="22"/>
  <c r="G33" i="22"/>
  <c r="Q30" i="22"/>
  <c r="Q29" i="22"/>
  <c r="Q27" i="22"/>
  <c r="Q26" i="22"/>
  <c r="A26" i="22"/>
  <c r="A27" i="22" s="1"/>
  <c r="A28" i="22" s="1"/>
  <c r="A29" i="22" s="1"/>
  <c r="A30" i="22" s="1"/>
  <c r="A31" i="22" s="1"/>
  <c r="A32" i="22" s="1"/>
  <c r="A33" i="22" s="1"/>
  <c r="Q23" i="22"/>
  <c r="Q21" i="22"/>
  <c r="Q19" i="22"/>
  <c r="Q17" i="22"/>
  <c r="Q16" i="22"/>
  <c r="Q15" i="22"/>
  <c r="K14" i="22"/>
  <c r="G14" i="22"/>
  <c r="F14" i="22" s="1"/>
  <c r="D14" i="22"/>
  <c r="N14" i="22" s="1"/>
  <c r="Q12" i="22"/>
  <c r="Q11" i="22"/>
  <c r="W8" i="22"/>
  <c r="X8" i="22" s="1"/>
  <c r="A8" i="22"/>
  <c r="X7" i="22"/>
  <c r="W7" i="22"/>
  <c r="Q7" i="22"/>
  <c r="C5" i="22"/>
  <c r="D5" i="22" s="1"/>
  <c r="E5" i="22" s="1"/>
  <c r="G5" i="22" s="1"/>
  <c r="H5" i="22" l="1"/>
  <c r="F33" i="22"/>
  <c r="Q33" i="22" s="1"/>
  <c r="K46" i="22"/>
  <c r="Q60" i="22"/>
  <c r="M28" i="22"/>
  <c r="Q28" i="22"/>
  <c r="T34" i="22"/>
  <c r="U34" i="22" s="1"/>
  <c r="Q34" i="22"/>
  <c r="M39" i="22"/>
  <c r="Q39" i="22"/>
  <c r="Q76" i="22"/>
  <c r="T8" i="22"/>
  <c r="Q8" i="22"/>
  <c r="M24" i="22"/>
  <c r="Q24" i="22"/>
  <c r="S40" i="22"/>
  <c r="Q40" i="22"/>
  <c r="S53" i="22"/>
  <c r="Q53" i="22"/>
  <c r="L71" i="22"/>
  <c r="Q71" i="22"/>
  <c r="Q14" i="22"/>
  <c r="G46" i="22"/>
  <c r="F46" i="22" s="1"/>
  <c r="L38" i="22"/>
  <c r="Q38" i="22"/>
  <c r="M49" i="22"/>
  <c r="Q49" i="22"/>
  <c r="S68" i="22"/>
  <c r="Q68" i="22"/>
  <c r="L79" i="22"/>
  <c r="Q79" i="22"/>
  <c r="T22" i="22"/>
  <c r="U22" i="22" s="1"/>
  <c r="Q22" i="22"/>
  <c r="M13" i="22"/>
  <c r="Q13" i="22"/>
  <c r="M36" i="22"/>
  <c r="Q36" i="22"/>
  <c r="S41" i="22"/>
  <c r="Q41" i="22"/>
  <c r="M47" i="22"/>
  <c r="Q47" i="22"/>
  <c r="L54" i="22"/>
  <c r="Q54" i="22"/>
  <c r="L50" i="22"/>
  <c r="Q50" i="22"/>
  <c r="L80" i="22"/>
  <c r="Q80" i="22"/>
  <c r="D46" i="22"/>
  <c r="N109" i="22" s="1"/>
  <c r="N46" i="22"/>
  <c r="M25" i="22"/>
  <c r="Q25" i="22"/>
  <c r="T31" i="22"/>
  <c r="Q31" i="22"/>
  <c r="L48" i="22"/>
  <c r="S55" i="22"/>
  <c r="Q55" i="22"/>
  <c r="L74" i="22"/>
  <c r="Q74" i="22"/>
  <c r="D96" i="22"/>
  <c r="O71" i="22"/>
  <c r="K90" i="22"/>
  <c r="O7" i="22"/>
  <c r="L7" i="22"/>
  <c r="P84" i="22"/>
  <c r="L9" i="22"/>
  <c r="P77" i="22"/>
  <c r="O38" i="22"/>
  <c r="L69" i="22"/>
  <c r="O69" i="22"/>
  <c r="S69" i="22"/>
  <c r="O79" i="22"/>
  <c r="O81" i="22"/>
  <c r="M22" i="22"/>
  <c r="T71" i="22"/>
  <c r="P23" i="22"/>
  <c r="P44" i="22"/>
  <c r="T47" i="22"/>
  <c r="P7" i="22"/>
  <c r="S22" i="22"/>
  <c r="W24" i="22"/>
  <c r="P31" i="22"/>
  <c r="O13" i="22"/>
  <c r="O22" i="22"/>
  <c r="M23" i="22"/>
  <c r="T68" i="22"/>
  <c r="M71" i="22"/>
  <c r="L22" i="22"/>
  <c r="O25" i="22"/>
  <c r="O28" i="22"/>
  <c r="S71" i="22"/>
  <c r="O48" i="22"/>
  <c r="L53" i="22"/>
  <c r="T38" i="22"/>
  <c r="P41" i="22"/>
  <c r="S49" i="22"/>
  <c r="M53" i="22"/>
  <c r="L13" i="22"/>
  <c r="O29" i="22"/>
  <c r="O53" i="22"/>
  <c r="S13" i="22"/>
  <c r="T24" i="22"/>
  <c r="P27" i="22"/>
  <c r="P36" i="22"/>
  <c r="M38" i="22"/>
  <c r="L26" i="22"/>
  <c r="T26" i="22"/>
  <c r="L35" i="22"/>
  <c r="O37" i="22"/>
  <c r="L40" i="22"/>
  <c r="T49" i="22"/>
  <c r="O12" i="22"/>
  <c r="L34" i="22"/>
  <c r="L24" i="22"/>
  <c r="M34" i="22"/>
  <c r="L42" i="22"/>
  <c r="P53" i="22"/>
  <c r="O54" i="22"/>
  <c r="V15" i="22"/>
  <c r="O26" i="22"/>
  <c r="P29" i="22"/>
  <c r="P34" i="22"/>
  <c r="O35" i="22"/>
  <c r="T39" i="22"/>
  <c r="U39" i="22" s="1"/>
  <c r="P42" i="22"/>
  <c r="O49" i="22"/>
  <c r="P54" i="22"/>
  <c r="E67" i="22"/>
  <c r="E82" i="22" s="1"/>
  <c r="L77" i="22"/>
  <c r="P79" i="22"/>
  <c r="O80" i="22"/>
  <c r="L49" i="22"/>
  <c r="S39" i="22"/>
  <c r="P45" i="22"/>
  <c r="P20" i="22"/>
  <c r="V19" i="22"/>
  <c r="P24" i="22"/>
  <c r="P26" i="22"/>
  <c r="O31" i="22"/>
  <c r="P35" i="22"/>
  <c r="O40" i="22"/>
  <c r="P49" i="22"/>
  <c r="S79" i="22"/>
  <c r="S35" i="22"/>
  <c r="S26" i="22"/>
  <c r="T35" i="22"/>
  <c r="U35" i="22" s="1"/>
  <c r="L39" i="22"/>
  <c r="O17" i="22"/>
  <c r="P21" i="22"/>
  <c r="M26" i="22"/>
  <c r="M35" i="22"/>
  <c r="S77" i="22"/>
  <c r="L81" i="22"/>
  <c r="O11" i="22"/>
  <c r="P11" i="22"/>
  <c r="Y46" i="22"/>
  <c r="L14" i="22"/>
  <c r="P14" i="22"/>
  <c r="O14" i="22"/>
  <c r="T14" i="22"/>
  <c r="S14" i="22"/>
  <c r="M14" i="22"/>
  <c r="O39" i="22"/>
  <c r="P39" i="22"/>
  <c r="P16" i="22"/>
  <c r="O16" i="22"/>
  <c r="T76" i="22"/>
  <c r="M76" i="22"/>
  <c r="L76" i="22"/>
  <c r="S76" i="22"/>
  <c r="P43" i="22"/>
  <c r="L19" i="22"/>
  <c r="S19" i="22"/>
  <c r="M19" i="22"/>
  <c r="T19" i="22"/>
  <c r="O15" i="22"/>
  <c r="P15" i="22"/>
  <c r="V46" i="22"/>
  <c r="W44" i="22"/>
  <c r="T30" i="22"/>
  <c r="S12" i="22"/>
  <c r="S17" i="22"/>
  <c r="S7" i="22"/>
  <c r="M12" i="22"/>
  <c r="T12" i="22"/>
  <c r="T29" i="22"/>
  <c r="O36" i="22"/>
  <c r="T7" i="22"/>
  <c r="L8" i="22"/>
  <c r="S8" i="22"/>
  <c r="L11" i="22"/>
  <c r="S11" i="22"/>
  <c r="P13" i="22"/>
  <c r="S15" i="22"/>
  <c r="L16" i="22"/>
  <c r="S21" i="22"/>
  <c r="W22" i="22"/>
  <c r="M29" i="22"/>
  <c r="O30" i="22"/>
  <c r="L31" i="22"/>
  <c r="M37" i="22"/>
  <c r="L41" i="22"/>
  <c r="O44" i="22"/>
  <c r="S44" i="22"/>
  <c r="L45" i="22"/>
  <c r="O55" i="22"/>
  <c r="P55" i="22"/>
  <c r="L55" i="22"/>
  <c r="O75" i="22"/>
  <c r="L75" i="22"/>
  <c r="S75" i="22"/>
  <c r="P12" i="22"/>
  <c r="P17" i="22"/>
  <c r="M21" i="22"/>
  <c r="P22" i="22"/>
  <c r="O24" i="22"/>
  <c r="S24" i="22"/>
  <c r="S27" i="22"/>
  <c r="L27" i="22"/>
  <c r="S36" i="22"/>
  <c r="L36" i="22"/>
  <c r="T36" i="22"/>
  <c r="P37" i="22"/>
  <c r="O41" i="22"/>
  <c r="O45" i="22"/>
  <c r="O50" i="22"/>
  <c r="P71" i="22"/>
  <c r="S30" i="22"/>
  <c r="L30" i="22"/>
  <c r="L12" i="22"/>
  <c r="T20" i="22"/>
  <c r="M20" i="22"/>
  <c r="L28" i="22"/>
  <c r="M30" i="22"/>
  <c r="S37" i="22"/>
  <c r="O42" i="22"/>
  <c r="T43" i="22"/>
  <c r="M43" i="22"/>
  <c r="S43" i="22"/>
  <c r="P47" i="22"/>
  <c r="S50" i="22"/>
  <c r="Q62" i="22"/>
  <c r="S78" i="22"/>
  <c r="O78" i="22"/>
  <c r="L78" i="22"/>
  <c r="O23" i="22"/>
  <c r="T17" i="22"/>
  <c r="L20" i="22"/>
  <c r="Q56" i="22"/>
  <c r="O60" i="22"/>
  <c r="S60" i="22"/>
  <c r="L60" i="22"/>
  <c r="S28" i="22"/>
  <c r="L17" i="22"/>
  <c r="M17" i="22"/>
  <c r="O19" i="22"/>
  <c r="O27" i="22"/>
  <c r="T37" i="22"/>
  <c r="L43" i="22"/>
  <c r="M7" i="22"/>
  <c r="S16" i="22"/>
  <c r="S20" i="22"/>
  <c r="S29" i="22"/>
  <c r="L29" i="22"/>
  <c r="L37" i="22"/>
  <c r="S45" i="22"/>
  <c r="P50" i="22"/>
  <c r="M50" i="22"/>
  <c r="L15" i="22"/>
  <c r="P25" i="22"/>
  <c r="S25" i="22"/>
  <c r="S31" i="22"/>
  <c r="O68" i="22"/>
  <c r="L68" i="22"/>
  <c r="M68" i="22"/>
  <c r="D90" i="22"/>
  <c r="M8" i="22"/>
  <c r="O20" i="22"/>
  <c r="L21" i="22"/>
  <c r="T21" i="22"/>
  <c r="S23" i="22"/>
  <c r="L23" i="22"/>
  <c r="T23" i="22"/>
  <c r="L25" i="22"/>
  <c r="U25" i="22"/>
  <c r="P28" i="22"/>
  <c r="P30" i="22"/>
  <c r="M31" i="22"/>
  <c r="S34" i="22"/>
  <c r="P38" i="22"/>
  <c r="S38" i="22"/>
  <c r="T42" i="22"/>
  <c r="M42" i="22"/>
  <c r="S42" i="22"/>
  <c r="O43" i="22"/>
  <c r="L44" i="22"/>
  <c r="O47" i="22"/>
  <c r="S47" i="22"/>
  <c r="L47" i="22"/>
  <c r="S48" i="22"/>
  <c r="M55" i="22"/>
  <c r="P68" i="22"/>
  <c r="S73" i="22"/>
  <c r="L73" i="22"/>
  <c r="O73" i="22"/>
  <c r="P73" i="22"/>
  <c r="T78" i="22"/>
  <c r="P76" i="22"/>
  <c r="O77" i="22"/>
  <c r="T80" i="22"/>
  <c r="M80" i="22"/>
  <c r="P80" i="22"/>
  <c r="S80" i="22"/>
  <c r="G82" i="22"/>
  <c r="Q67" i="22"/>
  <c r="E76" i="22"/>
  <c r="M54" i="22"/>
  <c r="S54" i="22"/>
  <c r="Q87" i="22"/>
  <c r="E96" i="22"/>
  <c r="M74" i="22"/>
  <c r="S74" i="22"/>
  <c r="O84" i="22"/>
  <c r="S84" i="22"/>
  <c r="L84" i="22"/>
  <c r="T81" i="22"/>
  <c r="M81" i="22"/>
  <c r="P81" i="22"/>
  <c r="S81" i="22"/>
  <c r="L5" i="22" l="1"/>
  <c r="M5" i="22" s="1"/>
  <c r="N5" i="22" s="1"/>
  <c r="O5" i="22" s="1"/>
  <c r="P5" i="22" s="1"/>
  <c r="R5" i="22" s="1"/>
  <c r="S5" i="22" s="1"/>
  <c r="T5" i="22" s="1"/>
  <c r="I5" i="22"/>
  <c r="J5" i="22" s="1"/>
  <c r="L33" i="22"/>
  <c r="S33" i="22"/>
  <c r="M33" i="22"/>
  <c r="T33" i="22"/>
  <c r="O33" i="22"/>
  <c r="D92" i="22"/>
  <c r="G90" i="22"/>
  <c r="F82" i="22"/>
  <c r="N92" i="22"/>
  <c r="N65" i="22"/>
  <c r="Q46" i="22"/>
  <c r="G65" i="22"/>
  <c r="F65" i="22" s="1"/>
  <c r="T9" i="22"/>
  <c r="O9" i="22"/>
  <c r="S9" i="22"/>
  <c r="G92" i="22"/>
  <c r="M9" i="22"/>
  <c r="K65" i="22"/>
  <c r="K92" i="22"/>
  <c r="K99" i="22" s="1"/>
  <c r="K109" i="22" s="1"/>
  <c r="O21" i="22"/>
  <c r="P33" i="22"/>
  <c r="O34" i="22"/>
  <c r="L87" i="22"/>
  <c r="O87" i="22"/>
  <c r="S87" i="22"/>
  <c r="P87" i="22"/>
  <c r="D97" i="22"/>
  <c r="D95" i="22" s="1"/>
  <c r="D61" i="22"/>
  <c r="D58" i="22" s="1"/>
  <c r="P56" i="22"/>
  <c r="L56" i="22"/>
  <c r="O56" i="22"/>
  <c r="M56" i="22"/>
  <c r="S56" i="22"/>
  <c r="P19" i="22"/>
  <c r="P9" i="22"/>
  <c r="O76" i="22"/>
  <c r="V65" i="22"/>
  <c r="M52" i="22"/>
  <c r="P52" i="22"/>
  <c r="S52" i="22"/>
  <c r="L52" i="22"/>
  <c r="O52" i="22"/>
  <c r="P62" i="22"/>
  <c r="O62" i="22"/>
  <c r="M62" i="22"/>
  <c r="L62" i="22"/>
  <c r="S62" i="22"/>
  <c r="T62" i="22"/>
  <c r="S46" i="22"/>
  <c r="L46" i="22"/>
  <c r="V44" i="22"/>
  <c r="X44" i="22" s="1"/>
  <c r="T46" i="22"/>
  <c r="M46" i="22"/>
  <c r="V99" i="22"/>
  <c r="Q96" i="22"/>
  <c r="O8" i="22"/>
  <c r="P8" i="22"/>
  <c r="O46" i="22"/>
  <c r="S67" i="22"/>
  <c r="M67" i="22"/>
  <c r="P67" i="22"/>
  <c r="T67" i="22"/>
  <c r="L67" i="22"/>
  <c r="O67" i="22"/>
  <c r="O88" i="22"/>
  <c r="O74" i="22"/>
  <c r="P74" i="22"/>
  <c r="G99" i="22" l="1"/>
  <c r="F92" i="22"/>
  <c r="F90" i="22"/>
  <c r="M82" i="22"/>
  <c r="Q82" i="22"/>
  <c r="N99" i="22"/>
  <c r="M86" i="22"/>
  <c r="Q86" i="22"/>
  <c r="Q97" i="22"/>
  <c r="N113" i="22"/>
  <c r="N114" i="22" s="1"/>
  <c r="N112" i="22"/>
  <c r="S88" i="22"/>
  <c r="L88" i="22"/>
  <c r="O96" i="22"/>
  <c r="L96" i="22"/>
  <c r="P96" i="22"/>
  <c r="T96" i="22"/>
  <c r="S96" i="22"/>
  <c r="M96" i="22"/>
  <c r="D94" i="22"/>
  <c r="D99" i="22" s="1"/>
  <c r="D109" i="22" s="1"/>
  <c r="D65" i="22"/>
  <c r="N110" i="22"/>
  <c r="E92" i="22"/>
  <c r="L86" i="22"/>
  <c r="O86" i="22"/>
  <c r="P86" i="22"/>
  <c r="S86" i="22"/>
  <c r="T82" i="22"/>
  <c r="L82" i="22"/>
  <c r="O82" i="22"/>
  <c r="S82" i="22"/>
  <c r="P82" i="22"/>
  <c r="Q63" i="22"/>
  <c r="P46" i="22"/>
  <c r="Y65" i="22"/>
  <c r="F99" i="22" l="1"/>
  <c r="G109" i="22"/>
  <c r="L92" i="22"/>
  <c r="Q92" i="22"/>
  <c r="S92" i="22"/>
  <c r="T92" i="22"/>
  <c r="M92" i="22"/>
  <c r="P92" i="22"/>
  <c r="O92" i="22"/>
  <c r="E97" i="22"/>
  <c r="E95" i="22" s="1"/>
  <c r="O97" i="22"/>
  <c r="L97" i="22"/>
  <c r="S97" i="22"/>
  <c r="T97" i="22"/>
  <c r="M97" i="22"/>
  <c r="P97" i="22"/>
  <c r="Q61" i="22"/>
  <c r="P63" i="22"/>
  <c r="S63" i="22"/>
  <c r="L63" i="22"/>
  <c r="O63" i="22"/>
  <c r="T63" i="22"/>
  <c r="M63" i="22"/>
  <c r="Q90" i="22"/>
  <c r="Q95" i="22"/>
  <c r="Q94" i="22" l="1"/>
  <c r="Q58" i="22"/>
  <c r="P61" i="22"/>
  <c r="T61" i="22"/>
  <c r="M61" i="22"/>
  <c r="S61" i="22"/>
  <c r="O61" i="22"/>
  <c r="L61" i="22"/>
  <c r="E94" i="22"/>
  <c r="E99" i="22" s="1"/>
  <c r="E109" i="22" s="1"/>
  <c r="E90" i="22"/>
  <c r="T90" i="22"/>
  <c r="M90" i="22"/>
  <c r="O90" i="22"/>
  <c r="S90" i="22"/>
  <c r="L90" i="22"/>
  <c r="P90" i="22"/>
  <c r="O95" i="22"/>
  <c r="L95" i="22"/>
  <c r="T95" i="22"/>
  <c r="M95" i="22"/>
  <c r="P95" i="22"/>
  <c r="S95" i="22"/>
  <c r="M58" i="22" l="1"/>
  <c r="S58" i="22"/>
  <c r="T58" i="22"/>
  <c r="O58" i="22"/>
  <c r="P58" i="22"/>
  <c r="L58" i="22"/>
  <c r="Q65" i="22"/>
  <c r="O94" i="22"/>
  <c r="L94" i="22"/>
  <c r="S94" i="22"/>
  <c r="M94" i="22"/>
  <c r="P94" i="22"/>
  <c r="T94" i="22"/>
  <c r="Q99" i="22" l="1"/>
  <c r="O99" i="22"/>
  <c r="L99" i="22"/>
  <c r="S99" i="22"/>
  <c r="F109" i="22"/>
  <c r="T99" i="22"/>
  <c r="P99" i="22"/>
  <c r="M99" i="22"/>
  <c r="O65" i="22"/>
  <c r="M65" i="22"/>
  <c r="P65" i="22"/>
  <c r="T65" i="22"/>
  <c r="S65" i="22"/>
  <c r="L65" i="22"/>
</calcChain>
</file>

<file path=xl/sharedStrings.xml><?xml version="1.0" encoding="utf-8"?>
<sst xmlns="http://schemas.openxmlformats.org/spreadsheetml/2006/main" count="202" uniqueCount="185">
  <si>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</si>
  <si>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</si>
  <si>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</si>
  <si>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</si>
  <si>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</si>
  <si>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</si>
  <si>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</si>
  <si>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</si>
  <si>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</si>
  <si>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</si>
  <si>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</si>
  <si>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</si>
  <si>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</si>
  <si>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</si>
  <si>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</si>
  <si>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</si>
  <si>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</si>
  <si>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</si>
  <si>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</si>
  <si>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</si>
  <si>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</si>
  <si>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</si>
  <si>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</si>
  <si>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</si>
  <si>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</si>
  <si>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</si>
  <si>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</si>
  <si>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</si>
  <si>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</si>
  <si>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</si>
  <si>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</si>
  <si>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</si>
  <si>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</si>
  <si>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</si>
  <si>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</si>
  <si>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</si>
  <si>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</si>
  <si>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</si>
  <si>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</si>
  <si>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</si>
  <si>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</si>
  <si>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</si>
  <si>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</si>
  <si>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</si>
  <si>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</si>
  <si>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</si>
  <si>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</si>
  <si>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</si>
  <si>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</si>
  <si>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</si>
  <si>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</si>
  <si>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</si>
  <si>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</si>
  <si>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</si>
  <si>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</si>
  <si>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</si>
  <si>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</si>
  <si>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</si>
  <si>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</si>
  <si>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</si>
  <si>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</si>
  <si>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</si>
  <si>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</si>
  <si>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</si>
  <si>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</si>
  <si>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</si>
  <si>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</si>
  <si>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</si>
  <si>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</si>
  <si>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</si>
  <si>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</si>
  <si>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</si>
  <si>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</si>
  <si>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</si>
  <si>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</si>
  <si>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</si>
  <si>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</si>
  <si>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</si>
  <si>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</si>
  <si>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</si>
  <si>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</si>
  <si>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</si>
  <si>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</si>
  <si>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</si>
  <si>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</si>
  <si>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</si>
  <si>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</si>
  <si>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</si>
  <si>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</si>
  <si>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</si>
  <si>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</si>
  <si>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</si>
  <si>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</si>
  <si>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</si>
  <si>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</si>
  <si>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</si>
  <si>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</si>
  <si>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</si>
  <si>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</si>
  <si>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</si>
  <si>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</si>
  <si>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</si>
  <si>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</si>
  <si>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</si>
  <si>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</si>
  <si>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</si>
  <si>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</si>
  <si>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</si>
  <si>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</si>
  <si>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</si>
  <si>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</si>
  <si>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</si>
  <si>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</si>
  <si>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</si>
  <si>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</si>
  <si>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</si>
  <si>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</si>
  <si>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</si>
  <si>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</si>
  <si>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</si>
  <si>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</si>
  <si>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</si>
  <si>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</si>
  <si>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</si>
  <si>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</si>
  <si>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r>
      <rPr>
        <b/>
        <u/>
        <sz val="15"/>
        <rFont val="Times New Roman"/>
        <family val="1"/>
        <charset val="204"/>
      </rPr>
      <t>Освітня субвенція з державного бюджету</t>
    </r>
    <r>
      <rPr>
        <sz val="15"/>
        <rFont val="Times New Roman"/>
        <family val="1"/>
        <charset val="204"/>
      </rPr>
      <t xml:space="preserve"> місцевим бюджетам</t>
    </r>
  </si>
  <si>
    <r>
      <rPr>
        <b/>
        <sz val="15"/>
        <rFont val="Times New Roman"/>
        <family val="1"/>
        <charset val="204"/>
      </rPr>
      <t>Дотація з місцевого бюджету</t>
    </r>
    <r>
      <rPr>
        <sz val="15"/>
        <rFont val="Times New Roman"/>
        <family val="1"/>
        <charset val="204"/>
      </rPr>
      <t xml:space="preserve">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  </r>
  </si>
  <si>
    <r>
      <rPr>
        <b/>
        <u/>
        <sz val="15"/>
        <rFont val="Times New Roman Cyr"/>
        <charset val="204"/>
      </rPr>
      <t xml:space="preserve">Інші субвенції </t>
    </r>
    <r>
      <rPr>
        <sz val="15"/>
        <rFont val="Times New Roman Cyr"/>
        <charset val="204"/>
      </rPr>
      <t>з місцевого бюджету</t>
    </r>
  </si>
  <si>
    <t>41055000</t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</si>
  <si>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здійснення переданих видатків у сфері освіти за рахунок коштів освітньої субвенції</t>
    </r>
  </si>
  <si>
    <r>
      <t xml:space="preserve">Субвенція з місцевого бюджету </t>
    </r>
    <r>
      <rPr>
        <b/>
        <u/>
        <sz val="15"/>
        <rFont val="Times New Roman"/>
        <family val="1"/>
        <charset val="204"/>
      </rPr>
      <t>на надання державної підтримки особам з особливими освітніми потребами</t>
    </r>
    <r>
      <rPr>
        <sz val="15"/>
        <rFont val="Times New Roman"/>
        <family val="1"/>
        <charset val="204"/>
      </rPr>
      <t xml:space="preserve"> за рахунок відповідної субвенції з державного бюджету</t>
    </r>
  </si>
  <si>
    <r>
      <t xml:space="preserve">Субвенція з державного бюджету місцевим бюджетам </t>
    </r>
    <r>
      <rPr>
        <b/>
        <u/>
        <sz val="15"/>
        <rFont val="Times New Roman"/>
        <family val="1"/>
        <charset val="204"/>
      </rPr>
      <t>на реформуваннярегіональних систем охорони здоров’я для здійснення заходів з виконання спільного з Міжнародним банком реконструкції та розвитку</t>
    </r>
    <r>
      <rPr>
        <sz val="15"/>
        <rFont val="Times New Roman"/>
        <family val="1"/>
        <charset val="204"/>
      </rPr>
      <t xml:space="preserve"> проекту «Поліпшення охорони здоров’я на службі у людей»</t>
    </r>
  </si>
  <si>
    <t>6.1.</t>
  </si>
  <si>
    <t>6.2.</t>
  </si>
  <si>
    <t>6.3.</t>
  </si>
  <si>
    <t>6.4.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</si>
  <si>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</si>
  <si>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</si>
  <si>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</si>
  <si>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</si>
  <si>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</si>
  <si>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</si>
  <si>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r>
      <t xml:space="preserve">Субвенція з місцевого бюджету </t>
    </r>
    <r>
      <rPr>
        <b/>
        <u/>
        <sz val="15"/>
        <rFont val="Times New Roman Cyr"/>
        <charset val="204"/>
      </rPr>
      <t>на здійснення підтримки окремих закладів та заходів у системі охорони здоров'я</t>
    </r>
    <r>
      <rPr>
        <sz val="15"/>
        <rFont val="Times New Roman Cyr"/>
        <charset val="204"/>
      </rPr>
      <t xml:space="preserve"> за рахунок відповідної субвенції з державного бюджету</t>
    </r>
  </si>
  <si>
    <r>
      <t xml:space="preserve">* на відшкодування витрат </t>
    </r>
    <r>
      <rPr>
        <b/>
        <i/>
        <u/>
        <sz val="15"/>
        <rFont val="Times New Roman Cyr"/>
        <charset val="204"/>
      </rPr>
      <t>на поховання учасників бойових дій та осіб з інвалідністю внаслідок війни</t>
    </r>
  </si>
  <si>
    <r>
      <t xml:space="preserve">* на пільгове медичне обслуговування  громадян, які </t>
    </r>
    <r>
      <rPr>
        <b/>
        <i/>
        <u/>
        <sz val="15"/>
        <rFont val="Times New Roman Cyr"/>
        <charset val="204"/>
      </rPr>
      <t>постраждали внаслідок Чорнобильської катастрофи</t>
    </r>
  </si>
  <si>
    <r>
      <t>* на компенсаційні</t>
    </r>
    <r>
      <rPr>
        <b/>
        <i/>
        <u/>
        <sz val="15"/>
        <rFont val="Times New Roman Cyr"/>
        <charset val="204"/>
      </rPr>
      <t xml:space="preserve"> виплати особам з інвалідністю на бензин (пальне), ремонт, техобслуговування автотранспорту </t>
    </r>
    <r>
      <rPr>
        <i/>
        <sz val="15"/>
        <rFont val="Times New Roman Cyr"/>
        <charset val="204"/>
      </rPr>
      <t>та на транспортне обслуговування, встановлення телефонів особам з інвалідністю І та ІІ груп</t>
    </r>
  </si>
  <si>
    <r>
      <t xml:space="preserve">* для забезпечення витратними матеріалами (кардіовиробами) хворих області в </t>
    </r>
    <r>
      <rPr>
        <b/>
        <i/>
        <u/>
        <sz val="15"/>
        <rFont val="Times New Roman Cyr"/>
        <charset val="204"/>
      </rPr>
      <t>КНП "Вінницький регіональний клінічний лікувально-діагностичний центр серцево-судинної патології"</t>
    </r>
  </si>
  <si>
    <t>Бюджет 
на 2022 рік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</si>
  <si>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</si>
  <si>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</si>
  <si>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</si>
  <si>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</si>
  <si>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</si>
  <si>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</si>
  <si>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</si>
  <si>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Всього власних доходів</t>
  </si>
  <si>
    <t>лютий</t>
  </si>
  <si>
    <t xml:space="preserve">Місцеві податки, нараховані до 1 січня 2011 року   </t>
  </si>
  <si>
    <t>16012200</t>
  </si>
  <si>
    <t>12020900</t>
  </si>
  <si>
    <t>19050200</t>
  </si>
  <si>
    <t xml:space="preserve">Податок з власників наземних, водних транспортних засобів та інших самохідних машин і механізмів   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</si>
  <si>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</si>
  <si>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8.1.</t>
  </si>
  <si>
    <t>8.2.</t>
  </si>
  <si>
    <t>8.3.</t>
  </si>
  <si>
    <t>8.4.</t>
  </si>
  <si>
    <t>6.5.</t>
  </si>
  <si>
    <t>15.1.</t>
  </si>
  <si>
    <t>15.2.</t>
  </si>
  <si>
    <t>15.3.</t>
  </si>
  <si>
    <t>15.4.</t>
  </si>
  <si>
    <t>березень</t>
  </si>
  <si>
    <r>
      <t xml:space="preserve">*субвенція з обласного бюджету на компенсаційні виплати </t>
    </r>
    <r>
      <rPr>
        <b/>
        <i/>
        <u/>
        <sz val="14"/>
        <rFont val="Times New Roman Cyr"/>
        <charset val="204"/>
      </rPr>
      <t>за пільговий проїзд окремих категорій громадян на міжміських внутрішньообласних маршрутах</t>
    </r>
    <r>
      <rPr>
        <i/>
        <sz val="14"/>
        <rFont val="Times New Roman Cyr"/>
        <charset val="204"/>
      </rPr>
      <t xml:space="preserve"> загального користування</t>
    </r>
  </si>
  <si>
    <t>ВСЬОГО трансфертів:</t>
  </si>
  <si>
    <t>Надійшло за січень - квітень 2022р.</t>
  </si>
  <si>
    <t>квітень</t>
  </si>
  <si>
    <t>План на січень - квітень 2022 року</t>
  </si>
  <si>
    <t>Відхилення надходжень до бюджету на січень - квітень 2022 року</t>
  </si>
  <si>
    <t>План на січень - квітень 2022р. (розрахунковий)</t>
  </si>
  <si>
    <t xml:space="preserve">Відхилення надходжень до бюджету на січень - квітень 2022 року (розрахунковий) </t>
  </si>
  <si>
    <t>Надійшло за січень - квітень 2021р.</t>
  </si>
  <si>
    <t>Відхилення факту січня - квітень 2022р. від факту січня - квітень 2021р.</t>
  </si>
  <si>
    <t>% виконання до плану на 2022р. (норма 33,3%)</t>
  </si>
  <si>
    <t>Аналіз виконання бюджету Вінницької міської територіальної громади за січень - квітень 2022 року (за місячним казначейським звітом)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</si>
</sst>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50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u/>
      <sz val="15"/>
      <name val="Times New Roman"/>
      <family val="1"/>
      <charset val="204"/>
    </font>
    <font>
      <b/>
      <i/>
      <u/>
      <sz val="15"/>
      <name val="Times New Roman Cyr"/>
      <charset val="204"/>
    </font>
    <font>
      <i/>
      <sz val="14"/>
      <name val="Times New Roman Cyr"/>
      <charset val="204"/>
    </font>
    <font>
      <b/>
      <u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b/>
      <i/>
      <u/>
      <sz val="14"/>
      <name val="Times New Roman Cyr"/>
      <charset val="204"/>
    </font>
    <font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1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vertical="center"/>
    </xf>
    <xf numFmtId="0" fontId="34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/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0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0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0" fontId="38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5" fillId="2" borderId="1" xfId="1" applyFont="1" applyFill="1" applyBorder="1" applyAlignment="1">
      <alignment horizontal="center" vertical="center"/>
    </xf>
    <xf numFmtId="0" fontId="46" fillId="2" borderId="1" xfId="1" applyFont="1" applyFill="1" applyBorder="1" applyAlignment="1">
      <alignment horizontal="center" vertical="center" wrapText="1"/>
    </xf>
    <xf numFmtId="165" fontId="46" fillId="2" borderId="1" xfId="1" applyNumberFormat="1" applyFont="1" applyFill="1" applyBorder="1" applyAlignment="1">
      <alignment horizontal="center" vertical="center" wrapText="1"/>
    </xf>
    <xf numFmtId="166" fontId="46" fillId="2" borderId="1" xfId="1" applyNumberFormat="1" applyFont="1" applyFill="1" applyBorder="1" applyAlignment="1">
      <alignment horizontal="center" vertical="center" wrapText="1"/>
    </xf>
    <xf numFmtId="166" fontId="46" fillId="2" borderId="1" xfId="3" applyNumberFormat="1" applyFont="1" applyFill="1" applyBorder="1" applyAlignment="1">
      <alignment horizontal="center" vertical="center"/>
    </xf>
    <xf numFmtId="164" fontId="46" fillId="2" borderId="1" xfId="3" applyNumberFormat="1" applyFont="1" applyFill="1" applyBorder="1" applyAlignment="1">
      <alignment horizontal="center" vertical="center"/>
    </xf>
    <xf numFmtId="166" fontId="45" fillId="2" borderId="0" xfId="1" applyNumberFormat="1" applyFont="1" applyFill="1" applyBorder="1"/>
    <xf numFmtId="0" fontId="45" fillId="2" borderId="0" xfId="1" applyFont="1" applyFill="1" applyBorder="1"/>
    <xf numFmtId="49" fontId="46" fillId="2" borderId="1" xfId="1" applyNumberFormat="1" applyFont="1" applyFill="1" applyBorder="1" applyAlignment="1">
      <alignment horizontal="center" vertical="center" wrapText="1"/>
    </xf>
    <xf numFmtId="0" fontId="45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7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7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166" fontId="49" fillId="2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0" fillId="2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0" fillId="0" borderId="1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>
      <alignment horizontal="center" vertical="center" textRotation="90" wrapText="1"/>
    </xf>
  </cellXfs>
  <cellStyles count="4">
    <cellStyle name="Звичайний 2" xfId="3"/>
    <cellStyle name="Обычный" xfId="0" builtinId="0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fin.vmr.gov.ua/Documents/&#1042;&#1110;&#1076;&#1076;&#1110;&#1083;%20&#1076;&#1086;&#1093;&#1086;&#1076;&#1110;&#1074;%20&#1073;&#1102;&#1076;&#1078;&#1077;&#1090;&#1091;/&#1057;&#1077;&#1088;&#1074;&#1077;&#1090;&#1085;&#1080;&#1082;%20&#1052;&#1072;&#1082;&#1089;&#1080;&#1084;%20&#1052;&#1080;&#1082;&#1086;&#1083;&#1072;&#1081;&#1086;&#1074;&#1080;&#1095;/&#1040;&#1085;&#1072;&#1083;&#1110;&#1079;&#1080;/&#1065;&#1086;&#1084;&#1110;&#1089;&#1103;&#1095;&#1085;&#1110;/&#1040;&#1085;&#1072;&#1083;&#1110;&#1079;%202021%20&#1088;&#1110;&#1082;/03%20&#1040;&#1085;&#1072;&#1083;&#1110;&#1079;%20&#1079;&#1072;%203%20&#1084;&#1110;&#1089;&#1103;&#1094;&#1110;%202021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1 короткий"/>
    </sheetNames>
    <sheetDataSet>
      <sheetData sheetId="0">
        <row r="29">
          <cell r="I29">
            <v>893.96699999999998</v>
          </cell>
        </row>
        <row r="33">
          <cell r="I33">
            <v>2556.277</v>
          </cell>
        </row>
        <row r="38">
          <cell r="I38">
            <v>1008.902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27"/>
  <sheetViews>
    <sheetView showGridLines="0" tabSelected="1" view="pageBreakPreview" zoomScale="60" zoomScaleNormal="75" workbookViewId="0">
      <pane xSplit="3" ySplit="6" topLeftCell="D46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RowHeight="12.75" x14ac:dyDescent="0.2"/>
  <cols>
    <col min="1" max="1" width="12.28515625" style="20" customWidth="1"/>
    <col min="2" max="2" width="106.5703125" style="20" customWidth="1"/>
    <col min="3" max="3" width="16.140625" style="20" customWidth="1"/>
    <col min="4" max="4" width="23.5703125" style="20" customWidth="1"/>
    <col min="5" max="5" width="23.7109375" style="20" hidden="1" customWidth="1"/>
    <col min="6" max="6" width="23.140625" style="33" customWidth="1"/>
    <col min="7" max="10" width="21.28515625" style="3" hidden="1" customWidth="1"/>
    <col min="11" max="11" width="24" style="3" customWidth="1"/>
    <col min="12" max="12" width="22.5703125" style="1" customWidth="1"/>
    <col min="13" max="13" width="14.140625" style="1" bestFit="1" customWidth="1"/>
    <col min="14" max="14" width="23.85546875" style="1" hidden="1" customWidth="1"/>
    <col min="15" max="15" width="25.7109375" style="1" hidden="1" customWidth="1"/>
    <col min="16" max="16" width="14.7109375" style="1" hidden="1" customWidth="1"/>
    <col min="17" max="17" width="16.140625" style="1" customWidth="1"/>
    <col min="18" max="18" width="23.140625" style="33" customWidth="1"/>
    <col min="19" max="19" width="21.85546875" style="1" customWidth="1"/>
    <col min="20" max="20" width="14.7109375" style="3" bestFit="1" customWidth="1"/>
    <col min="21" max="21" width="24.140625" style="3" hidden="1" customWidth="1"/>
    <col min="22" max="22" width="19.140625" style="3" hidden="1" customWidth="1"/>
    <col min="23" max="23" width="15.85546875" style="3" hidden="1" customWidth="1"/>
    <col min="24" max="24" width="0" style="3" hidden="1" customWidth="1"/>
    <col min="25" max="25" width="24.140625" style="3" hidden="1" customWidth="1"/>
    <col min="26" max="26" width="0" style="3" hidden="1" customWidth="1"/>
    <col min="27" max="27" width="15.140625" style="3" hidden="1" customWidth="1"/>
    <col min="28" max="29" width="0" style="3" hidden="1" customWidth="1"/>
    <col min="30" max="16384" width="9.140625" style="3"/>
  </cols>
  <sheetData>
    <row r="1" spans="1:35" ht="30" customHeight="1" x14ac:dyDescent="0.2">
      <c r="A1" s="180" t="s">
        <v>184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</row>
    <row r="2" spans="1:35" ht="18.75" x14ac:dyDescent="0.3">
      <c r="A2" s="23" t="s">
        <v>46</v>
      </c>
      <c r="B2" s="18"/>
      <c r="C2" s="18"/>
      <c r="D2" s="102"/>
      <c r="E2" s="18"/>
      <c r="F2" s="102"/>
      <c r="G2" s="102"/>
      <c r="H2" s="102"/>
      <c r="I2" s="102"/>
      <c r="J2" s="102"/>
      <c r="K2" s="102"/>
      <c r="R2" s="102"/>
      <c r="S2" s="5" t="s">
        <v>13</v>
      </c>
      <c r="T2" s="5"/>
    </row>
    <row r="3" spans="1:35" s="69" customFormat="1" ht="15" customHeight="1" x14ac:dyDescent="0.25">
      <c r="A3" s="185" t="s">
        <v>0</v>
      </c>
      <c r="B3" s="183" t="s">
        <v>1</v>
      </c>
      <c r="C3" s="183" t="s">
        <v>2</v>
      </c>
      <c r="D3" s="182" t="s">
        <v>147</v>
      </c>
      <c r="E3" s="182" t="s">
        <v>136</v>
      </c>
      <c r="F3" s="184" t="s">
        <v>175</v>
      </c>
      <c r="G3" s="182" t="s">
        <v>61</v>
      </c>
      <c r="H3" s="182" t="s">
        <v>156</v>
      </c>
      <c r="I3" s="182" t="s">
        <v>172</v>
      </c>
      <c r="J3" s="182" t="s">
        <v>176</v>
      </c>
      <c r="K3" s="182" t="s">
        <v>177</v>
      </c>
      <c r="L3" s="182" t="s">
        <v>178</v>
      </c>
      <c r="M3" s="182" t="s">
        <v>3</v>
      </c>
      <c r="N3" s="182" t="s">
        <v>179</v>
      </c>
      <c r="O3" s="182" t="s">
        <v>180</v>
      </c>
      <c r="P3" s="182" t="s">
        <v>3</v>
      </c>
      <c r="Q3" s="190" t="s">
        <v>183</v>
      </c>
      <c r="R3" s="184" t="s">
        <v>181</v>
      </c>
      <c r="S3" s="182" t="s">
        <v>182</v>
      </c>
      <c r="T3" s="182" t="s">
        <v>3</v>
      </c>
    </row>
    <row r="4" spans="1:35" s="69" customFormat="1" ht="79.5" customHeight="1" x14ac:dyDescent="0.25">
      <c r="A4" s="185"/>
      <c r="B4" s="183"/>
      <c r="C4" s="183"/>
      <c r="D4" s="182"/>
      <c r="E4" s="182"/>
      <c r="F4" s="184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90"/>
      <c r="R4" s="184"/>
      <c r="S4" s="182"/>
      <c r="T4" s="182"/>
    </row>
    <row r="5" spans="1:35" s="74" customFormat="1" ht="20.25" x14ac:dyDescent="0.2">
      <c r="A5" s="70" t="s">
        <v>4</v>
      </c>
      <c r="B5" s="71" t="s">
        <v>5</v>
      </c>
      <c r="C5" s="71">
        <f>B5+1</f>
        <v>3</v>
      </c>
      <c r="D5" s="71">
        <f>C5+1</f>
        <v>4</v>
      </c>
      <c r="E5" s="71">
        <f t="shared" ref="E5:T5" si="0">D5+1</f>
        <v>5</v>
      </c>
      <c r="F5" s="72">
        <v>5</v>
      </c>
      <c r="G5" s="71">
        <f t="shared" si="0"/>
        <v>6</v>
      </c>
      <c r="H5" s="71">
        <f t="shared" ref="H5" si="1">G5+1</f>
        <v>7</v>
      </c>
      <c r="I5" s="71">
        <f t="shared" ref="I5" si="2">H5+1</f>
        <v>8</v>
      </c>
      <c r="J5" s="71">
        <f t="shared" ref="J5" si="3">I5+1</f>
        <v>9</v>
      </c>
      <c r="K5" s="71">
        <v>6</v>
      </c>
      <c r="L5" s="71">
        <f t="shared" ref="L5" si="4">K5+1</f>
        <v>7</v>
      </c>
      <c r="M5" s="71">
        <f t="shared" ref="M5" si="5">L5+1</f>
        <v>8</v>
      </c>
      <c r="N5" s="71">
        <f t="shared" ref="N5" si="6">M5+1</f>
        <v>9</v>
      </c>
      <c r="O5" s="71">
        <f t="shared" ref="O5" si="7">N5+1</f>
        <v>10</v>
      </c>
      <c r="P5" s="71">
        <f t="shared" ref="P5" si="8">O5+1</f>
        <v>11</v>
      </c>
      <c r="Q5" s="71">
        <v>9</v>
      </c>
      <c r="R5" s="72">
        <f t="shared" si="0"/>
        <v>10</v>
      </c>
      <c r="S5" s="71">
        <f t="shared" si="0"/>
        <v>11</v>
      </c>
      <c r="T5" s="71">
        <f t="shared" si="0"/>
        <v>12</v>
      </c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s="75" customFormat="1" ht="26.25" customHeight="1" x14ac:dyDescent="0.2">
      <c r="A6" s="181" t="s">
        <v>6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</row>
    <row r="7" spans="1:35" s="80" customFormat="1" ht="27.75" customHeight="1" x14ac:dyDescent="0.25">
      <c r="A7" s="76">
        <v>1</v>
      </c>
      <c r="B7" s="85" t="s">
        <v>63</v>
      </c>
      <c r="C7" s="77" t="s">
        <v>14</v>
      </c>
      <c r="D7" s="120">
        <v>2859393.46</v>
      </c>
      <c r="E7" s="120">
        <v>2398057.0789999999</v>
      </c>
      <c r="F7" s="121">
        <f>SUM(G7:J7)</f>
        <v>863190.53499999992</v>
      </c>
      <c r="G7" s="120">
        <v>178227.345</v>
      </c>
      <c r="H7" s="120">
        <v>241711.46</v>
      </c>
      <c r="I7" s="120">
        <v>229956.74600000001</v>
      </c>
      <c r="J7" s="120">
        <v>213294.984</v>
      </c>
      <c r="K7" s="122">
        <v>845462.85699999996</v>
      </c>
      <c r="L7" s="123">
        <f t="shared" ref="L7:L41" si="9">F7-K7</f>
        <v>17727.677999999956</v>
      </c>
      <c r="M7" s="124">
        <f>F7/K7*100</f>
        <v>102.09680151566964</v>
      </c>
      <c r="N7" s="123">
        <f>D7/12*4</f>
        <v>953131.15333333332</v>
      </c>
      <c r="O7" s="123">
        <f t="shared" ref="O7:O41" si="10">F7-N7</f>
        <v>-89940.618333333405</v>
      </c>
      <c r="P7" s="124">
        <f t="shared" ref="P7:P39" si="11">F7/N7*100</f>
        <v>90.563668177376329</v>
      </c>
      <c r="Q7" s="124">
        <f>F7/D7*100</f>
        <v>30.187889392458771</v>
      </c>
      <c r="R7" s="121">
        <v>711722.25300000003</v>
      </c>
      <c r="S7" s="123">
        <f t="shared" ref="S7:S41" si="12">F7-R7</f>
        <v>151468.28199999989</v>
      </c>
      <c r="T7" s="124">
        <f>F7/R7*100</f>
        <v>121.28193707047122</v>
      </c>
      <c r="U7" s="78"/>
      <c r="V7" s="78"/>
      <c r="W7" s="78">
        <f>U7-V7</f>
        <v>0</v>
      </c>
      <c r="X7" s="79" t="e">
        <f>U7/V7*100</f>
        <v>#DIV/0!</v>
      </c>
    </row>
    <row r="8" spans="1:35" s="80" customFormat="1" ht="23.25" x14ac:dyDescent="0.25">
      <c r="A8" s="76">
        <f>A7+1</f>
        <v>2</v>
      </c>
      <c r="B8" s="85" t="s">
        <v>34</v>
      </c>
      <c r="C8" s="77" t="s">
        <v>16</v>
      </c>
      <c r="D8" s="120">
        <v>1010</v>
      </c>
      <c r="E8" s="120">
        <v>1100</v>
      </c>
      <c r="F8" s="121">
        <f t="shared" ref="F8:F65" si="13">SUM(G8:J8)</f>
        <v>299.91699999999997</v>
      </c>
      <c r="G8" s="120">
        <v>2.6560000000000001</v>
      </c>
      <c r="H8" s="120">
        <v>179.74199999999999</v>
      </c>
      <c r="I8" s="120">
        <v>86.79</v>
      </c>
      <c r="J8" s="120">
        <v>30.728999999999999</v>
      </c>
      <c r="K8" s="122">
        <v>299.7</v>
      </c>
      <c r="L8" s="123">
        <f t="shared" si="9"/>
        <v>0.21699999999998454</v>
      </c>
      <c r="M8" s="124">
        <f>F8/K8*100</f>
        <v>100.07240573907239</v>
      </c>
      <c r="N8" s="123">
        <f>D8/12*4</f>
        <v>336.66666666666669</v>
      </c>
      <c r="O8" s="123">
        <f t="shared" si="10"/>
        <v>-36.749666666666712</v>
      </c>
      <c r="P8" s="124">
        <f t="shared" si="11"/>
        <v>89.084257425742564</v>
      </c>
      <c r="Q8" s="124">
        <f t="shared" ref="Q8:Q73" si="14">F8/D8*100</f>
        <v>29.694752475247522</v>
      </c>
      <c r="R8" s="121">
        <v>605.81200000000001</v>
      </c>
      <c r="S8" s="123">
        <f t="shared" si="12"/>
        <v>-305.89500000000004</v>
      </c>
      <c r="T8" s="124">
        <f>F8/R8*100</f>
        <v>49.50661261249364</v>
      </c>
      <c r="U8" s="78"/>
      <c r="V8" s="78"/>
      <c r="W8" s="78">
        <f>R7/0.5</f>
        <v>1423444.5060000001</v>
      </c>
      <c r="X8" s="79">
        <f>V8/W8*100</f>
        <v>0</v>
      </c>
    </row>
    <row r="9" spans="1:35" s="80" customFormat="1" ht="23.25" x14ac:dyDescent="0.25">
      <c r="A9" s="76">
        <v>3</v>
      </c>
      <c r="B9" s="85" t="s">
        <v>103</v>
      </c>
      <c r="C9" s="77" t="s">
        <v>104</v>
      </c>
      <c r="D9" s="120">
        <f>SUM(D10:D13)</f>
        <v>484</v>
      </c>
      <c r="E9" s="120">
        <f>SUM(E11:E13)</f>
        <v>506.88</v>
      </c>
      <c r="F9" s="121">
        <f t="shared" si="13"/>
        <v>161.40900000000002</v>
      </c>
      <c r="G9" s="120">
        <f>SUM(G10:G13)</f>
        <v>1.3639999999999999</v>
      </c>
      <c r="H9" s="120">
        <f>SUM(H10:H13)</f>
        <v>157.917</v>
      </c>
      <c r="I9" s="120">
        <f>SUM(I10:I13)</f>
        <v>0.187</v>
      </c>
      <c r="J9" s="120">
        <f>SUM(J10:J13)</f>
        <v>1.9410000000000001</v>
      </c>
      <c r="K9" s="120">
        <f>SUM(K10:K13)</f>
        <v>160.02000000000001</v>
      </c>
      <c r="L9" s="123">
        <f t="shared" si="9"/>
        <v>1.38900000000001</v>
      </c>
      <c r="M9" s="124">
        <f>F9/K9*100</f>
        <v>100.86801649793777</v>
      </c>
      <c r="N9" s="123">
        <f t="shared" ref="N9:N45" si="15">D9/12*4</f>
        <v>161.33333333333334</v>
      </c>
      <c r="O9" s="123">
        <f t="shared" si="10"/>
        <v>7.5666666666677429E-2</v>
      </c>
      <c r="P9" s="124">
        <f t="shared" si="11"/>
        <v>100.04690082644629</v>
      </c>
      <c r="Q9" s="124">
        <f t="shared" si="14"/>
        <v>33.348966942148763</v>
      </c>
      <c r="R9" s="121">
        <f>SUM(R10:R13)</f>
        <v>127.60100000000001</v>
      </c>
      <c r="S9" s="123">
        <f t="shared" si="12"/>
        <v>33.808000000000007</v>
      </c>
      <c r="T9" s="124">
        <f>F9/R9*100</f>
        <v>126.49509016387019</v>
      </c>
      <c r="U9" s="78"/>
      <c r="V9" s="78"/>
      <c r="W9" s="78"/>
      <c r="X9" s="79"/>
    </row>
    <row r="10" spans="1:35" s="80" customFormat="1" ht="39" x14ac:dyDescent="0.25">
      <c r="A10" s="81" t="s">
        <v>105</v>
      </c>
      <c r="B10" s="174" t="s">
        <v>148</v>
      </c>
      <c r="C10" s="178" t="s">
        <v>149</v>
      </c>
      <c r="D10" s="120">
        <v>23</v>
      </c>
      <c r="E10" s="120"/>
      <c r="F10" s="126">
        <f t="shared" si="13"/>
        <v>4.5510000000000002</v>
      </c>
      <c r="G10" s="120">
        <v>0</v>
      </c>
      <c r="H10" s="120">
        <v>4.5510000000000002</v>
      </c>
      <c r="I10" s="120">
        <v>0</v>
      </c>
      <c r="J10" s="120">
        <v>0</v>
      </c>
      <c r="K10" s="122">
        <v>4.5</v>
      </c>
      <c r="L10" s="123">
        <f t="shared" ref="L10" si="16">F10-K10</f>
        <v>5.1000000000000156E-2</v>
      </c>
      <c r="M10" s="129">
        <f t="shared" ref="M10:M11" si="17">F10/K10*100</f>
        <v>101.13333333333334</v>
      </c>
      <c r="N10" s="123">
        <f t="shared" si="15"/>
        <v>7.666666666666667</v>
      </c>
      <c r="O10" s="123">
        <f t="shared" ref="O10" si="18">F10-N10</f>
        <v>-3.1156666666666668</v>
      </c>
      <c r="P10" s="129">
        <f t="shared" si="11"/>
        <v>59.360869565217392</v>
      </c>
      <c r="Q10" s="124">
        <f t="shared" si="14"/>
        <v>19.786956521739132</v>
      </c>
      <c r="R10" s="121">
        <v>8.5120000000000005</v>
      </c>
      <c r="S10" s="123">
        <f t="shared" si="12"/>
        <v>-3.9610000000000003</v>
      </c>
      <c r="T10" s="124">
        <f t="shared" ref="T10:T11" si="19">F10/R10*100</f>
        <v>53.465695488721799</v>
      </c>
      <c r="U10" s="78"/>
      <c r="V10" s="78"/>
      <c r="W10" s="78"/>
      <c r="X10" s="79"/>
    </row>
    <row r="11" spans="1:35" s="84" customFormat="1" ht="58.5" x14ac:dyDescent="0.25">
      <c r="A11" s="81" t="s">
        <v>106</v>
      </c>
      <c r="B11" s="174" t="s">
        <v>98</v>
      </c>
      <c r="C11" s="68" t="s">
        <v>99</v>
      </c>
      <c r="D11" s="125">
        <v>160</v>
      </c>
      <c r="E11" s="125">
        <v>166.79</v>
      </c>
      <c r="F11" s="126">
        <f t="shared" si="13"/>
        <v>69.736000000000004</v>
      </c>
      <c r="G11" s="125">
        <v>0</v>
      </c>
      <c r="H11" s="125">
        <v>69.736000000000004</v>
      </c>
      <c r="I11" s="125">
        <v>0</v>
      </c>
      <c r="J11" s="125">
        <v>0</v>
      </c>
      <c r="K11" s="127">
        <v>69.7</v>
      </c>
      <c r="L11" s="128">
        <f t="shared" si="9"/>
        <v>3.6000000000001364E-2</v>
      </c>
      <c r="M11" s="129">
        <f t="shared" si="17"/>
        <v>100.05164992826398</v>
      </c>
      <c r="N11" s="128">
        <f t="shared" si="15"/>
        <v>53.333333333333336</v>
      </c>
      <c r="O11" s="128">
        <f t="shared" si="10"/>
        <v>16.402666666666669</v>
      </c>
      <c r="P11" s="129">
        <f t="shared" si="11"/>
        <v>130.755</v>
      </c>
      <c r="Q11" s="129">
        <f t="shared" si="14"/>
        <v>43.585000000000001</v>
      </c>
      <c r="R11" s="126">
        <v>53.468000000000004</v>
      </c>
      <c r="S11" s="128">
        <f t="shared" si="12"/>
        <v>16.268000000000001</v>
      </c>
      <c r="T11" s="129">
        <f t="shared" si="19"/>
        <v>130.42567517019526</v>
      </c>
    </row>
    <row r="12" spans="1:35" s="84" customFormat="1" ht="39" x14ac:dyDescent="0.25">
      <c r="A12" s="81" t="s">
        <v>107</v>
      </c>
      <c r="B12" s="174" t="s">
        <v>139</v>
      </c>
      <c r="C12" s="68" t="s">
        <v>102</v>
      </c>
      <c r="D12" s="125">
        <v>86</v>
      </c>
      <c r="E12" s="125">
        <v>82.45</v>
      </c>
      <c r="F12" s="126">
        <f t="shared" si="13"/>
        <v>23.083000000000002</v>
      </c>
      <c r="G12" s="125">
        <v>0.96</v>
      </c>
      <c r="H12" s="125">
        <v>19.995000000000001</v>
      </c>
      <c r="I12" s="125">
        <v>0.187</v>
      </c>
      <c r="J12" s="125">
        <v>1.9410000000000001</v>
      </c>
      <c r="K12" s="127">
        <v>21.82</v>
      </c>
      <c r="L12" s="128">
        <f t="shared" si="9"/>
        <v>1.2630000000000017</v>
      </c>
      <c r="M12" s="129">
        <f>F12/K12*100</f>
        <v>105.78826764436297</v>
      </c>
      <c r="N12" s="128">
        <f t="shared" si="15"/>
        <v>28.666666666666668</v>
      </c>
      <c r="O12" s="128">
        <f t="shared" si="10"/>
        <v>-5.5836666666666659</v>
      </c>
      <c r="P12" s="129">
        <f t="shared" si="11"/>
        <v>80.52209302325582</v>
      </c>
      <c r="Q12" s="129">
        <f t="shared" si="14"/>
        <v>26.840697674418607</v>
      </c>
      <c r="R12" s="126">
        <v>19.594000000000005</v>
      </c>
      <c r="S12" s="128">
        <f t="shared" si="12"/>
        <v>3.4889999999999972</v>
      </c>
      <c r="T12" s="129">
        <f>F12/R12*100</f>
        <v>117.80647136878635</v>
      </c>
    </row>
    <row r="13" spans="1:35" s="84" customFormat="1" ht="39" x14ac:dyDescent="0.25">
      <c r="A13" s="81" t="s">
        <v>150</v>
      </c>
      <c r="B13" s="174" t="s">
        <v>138</v>
      </c>
      <c r="C13" s="68" t="s">
        <v>137</v>
      </c>
      <c r="D13" s="125">
        <v>215</v>
      </c>
      <c r="E13" s="125">
        <v>257.64</v>
      </c>
      <c r="F13" s="126">
        <f t="shared" si="13"/>
        <v>64.039000000000001</v>
      </c>
      <c r="G13" s="125">
        <v>0.40400000000000003</v>
      </c>
      <c r="H13" s="125">
        <v>63.634999999999998</v>
      </c>
      <c r="I13" s="125">
        <v>0</v>
      </c>
      <c r="J13" s="125">
        <v>0</v>
      </c>
      <c r="K13" s="127">
        <v>64</v>
      </c>
      <c r="L13" s="128">
        <f t="shared" si="9"/>
        <v>3.9000000000001478E-2</v>
      </c>
      <c r="M13" s="129">
        <f>F13/K13*100</f>
        <v>100.06093750000001</v>
      </c>
      <c r="N13" s="128">
        <f t="shared" si="15"/>
        <v>71.666666666666671</v>
      </c>
      <c r="O13" s="128">
        <f t="shared" si="10"/>
        <v>-7.6276666666666699</v>
      </c>
      <c r="P13" s="129">
        <f t="shared" si="11"/>
        <v>89.356744186046512</v>
      </c>
      <c r="Q13" s="129">
        <f t="shared" si="14"/>
        <v>29.785581395348835</v>
      </c>
      <c r="R13" s="126">
        <v>46.027000000000001</v>
      </c>
      <c r="S13" s="128">
        <f t="shared" si="12"/>
        <v>18.012</v>
      </c>
      <c r="T13" s="129">
        <f>F13/R13*100</f>
        <v>139.13355204553847</v>
      </c>
    </row>
    <row r="14" spans="1:35" s="80" customFormat="1" ht="23.25" x14ac:dyDescent="0.25">
      <c r="A14" s="76">
        <v>4</v>
      </c>
      <c r="B14" s="108" t="s">
        <v>87</v>
      </c>
      <c r="C14" s="103" t="s">
        <v>86</v>
      </c>
      <c r="D14" s="120">
        <f>SUM(D15:D17)</f>
        <v>283000</v>
      </c>
      <c r="E14" s="120">
        <f>SUM(E15:E17)</f>
        <v>247766</v>
      </c>
      <c r="F14" s="121">
        <f t="shared" si="13"/>
        <v>53326.828999999998</v>
      </c>
      <c r="G14" s="120">
        <f t="shared" ref="G14:K14" si="20">SUM(G15:G17)</f>
        <v>13827.143</v>
      </c>
      <c r="H14" s="120">
        <f t="shared" ref="H14:I14" si="21">SUM(H15:H17)</f>
        <v>7447.0510000000004</v>
      </c>
      <c r="I14" s="120">
        <f t="shared" si="21"/>
        <v>25460.975999999999</v>
      </c>
      <c r="J14" s="120">
        <f t="shared" si="20"/>
        <v>6591.6589999999997</v>
      </c>
      <c r="K14" s="122">
        <f t="shared" si="20"/>
        <v>50000</v>
      </c>
      <c r="L14" s="123">
        <f t="shared" si="9"/>
        <v>3326.8289999999979</v>
      </c>
      <c r="M14" s="124">
        <f>F14/K14*100</f>
        <v>106.65365799999999</v>
      </c>
      <c r="N14" s="123">
        <f t="shared" si="15"/>
        <v>94333.333333333328</v>
      </c>
      <c r="O14" s="123">
        <f t="shared" si="10"/>
        <v>-41006.504333333331</v>
      </c>
      <c r="P14" s="124">
        <f t="shared" si="11"/>
        <v>56.530207420494705</v>
      </c>
      <c r="Q14" s="124">
        <f t="shared" si="14"/>
        <v>18.843402473498234</v>
      </c>
      <c r="R14" s="121">
        <f t="shared" ref="R14" si="22">SUM(R15:R17)</f>
        <v>70937.895000000004</v>
      </c>
      <c r="S14" s="123">
        <f t="shared" si="12"/>
        <v>-17611.066000000006</v>
      </c>
      <c r="T14" s="124">
        <f>F14/R14*100</f>
        <v>75.173965903555498</v>
      </c>
    </row>
    <row r="15" spans="1:35" s="84" customFormat="1" ht="30" customHeight="1" x14ac:dyDescent="0.25">
      <c r="A15" s="81" t="s">
        <v>120</v>
      </c>
      <c r="B15" s="174" t="s">
        <v>92</v>
      </c>
      <c r="C15" s="68" t="s">
        <v>84</v>
      </c>
      <c r="D15" s="125">
        <v>32000</v>
      </c>
      <c r="E15" s="125">
        <v>25500</v>
      </c>
      <c r="F15" s="126">
        <f t="shared" si="13"/>
        <v>4224.6480000000001</v>
      </c>
      <c r="G15" s="125">
        <v>0</v>
      </c>
      <c r="H15" s="125">
        <v>0</v>
      </c>
      <c r="I15" s="125">
        <v>4216.5990000000002</v>
      </c>
      <c r="J15" s="125">
        <v>8.0489999999999995</v>
      </c>
      <c r="K15" s="127">
        <v>4200</v>
      </c>
      <c r="L15" s="128">
        <f t="shared" si="9"/>
        <v>24.648000000000138</v>
      </c>
      <c r="M15" s="129">
        <f t="shared" ref="M15:M26" si="23">F15/K15*100</f>
        <v>100.58685714285716</v>
      </c>
      <c r="N15" s="128">
        <f t="shared" si="15"/>
        <v>10666.666666666666</v>
      </c>
      <c r="O15" s="128">
        <f t="shared" si="10"/>
        <v>-6442.0186666666659</v>
      </c>
      <c r="P15" s="129">
        <f t="shared" si="11"/>
        <v>39.606075000000004</v>
      </c>
      <c r="Q15" s="129">
        <f t="shared" si="14"/>
        <v>13.202025000000001</v>
      </c>
      <c r="R15" s="126">
        <v>8357.1659999999993</v>
      </c>
      <c r="S15" s="128">
        <f t="shared" si="12"/>
        <v>-4132.5179999999991</v>
      </c>
      <c r="T15" s="129">
        <f t="shared" ref="T15:T24" si="24">F15/R15*100</f>
        <v>50.551203601795159</v>
      </c>
      <c r="U15" s="82">
        <f>R15+R16</f>
        <v>37434.237000000001</v>
      </c>
      <c r="V15" s="82">
        <f>F15+F16</f>
        <v>18462.602000000003</v>
      </c>
    </row>
    <row r="16" spans="1:35" s="84" customFormat="1" ht="39" x14ac:dyDescent="0.25">
      <c r="A16" s="81" t="s">
        <v>121</v>
      </c>
      <c r="B16" s="174" t="s">
        <v>93</v>
      </c>
      <c r="C16" s="68" t="s">
        <v>85</v>
      </c>
      <c r="D16" s="125">
        <v>106000</v>
      </c>
      <c r="E16" s="125">
        <v>87500</v>
      </c>
      <c r="F16" s="126">
        <f t="shared" si="13"/>
        <v>14237.954000000002</v>
      </c>
      <c r="G16" s="125">
        <v>0</v>
      </c>
      <c r="H16" s="125">
        <v>0</v>
      </c>
      <c r="I16" s="125">
        <v>14207.164000000001</v>
      </c>
      <c r="J16" s="125">
        <v>30.79</v>
      </c>
      <c r="K16" s="127">
        <v>14200</v>
      </c>
      <c r="L16" s="128">
        <f t="shared" si="9"/>
        <v>37.954000000001543</v>
      </c>
      <c r="M16" s="129">
        <f t="shared" si="23"/>
        <v>100.26728169014085</v>
      </c>
      <c r="N16" s="128">
        <f t="shared" si="15"/>
        <v>35333.333333333336</v>
      </c>
      <c r="O16" s="128">
        <f t="shared" si="10"/>
        <v>-21095.379333333334</v>
      </c>
      <c r="P16" s="129">
        <f t="shared" si="11"/>
        <v>40.296096226415095</v>
      </c>
      <c r="Q16" s="129">
        <f t="shared" si="14"/>
        <v>13.4320320754717</v>
      </c>
      <c r="R16" s="126">
        <v>29077.071</v>
      </c>
      <c r="S16" s="128">
        <f t="shared" si="12"/>
        <v>-14839.116999999998</v>
      </c>
      <c r="T16" s="129">
        <f t="shared" si="24"/>
        <v>48.966259359479508</v>
      </c>
    </row>
    <row r="17" spans="1:23" s="84" customFormat="1" ht="39" x14ac:dyDescent="0.25">
      <c r="A17" s="81" t="s">
        <v>122</v>
      </c>
      <c r="B17" s="174" t="s">
        <v>94</v>
      </c>
      <c r="C17" s="68" t="s">
        <v>54</v>
      </c>
      <c r="D17" s="125">
        <v>145000</v>
      </c>
      <c r="E17" s="125">
        <v>134766</v>
      </c>
      <c r="F17" s="126">
        <f t="shared" si="13"/>
        <v>34864.226999999999</v>
      </c>
      <c r="G17" s="125">
        <v>13827.143</v>
      </c>
      <c r="H17" s="125">
        <v>7447.0510000000004</v>
      </c>
      <c r="I17" s="125">
        <v>7037.2129999999997</v>
      </c>
      <c r="J17" s="125">
        <v>6552.82</v>
      </c>
      <c r="K17" s="127">
        <v>31600</v>
      </c>
      <c r="L17" s="128">
        <f t="shared" si="9"/>
        <v>3264.226999999999</v>
      </c>
      <c r="M17" s="129">
        <f t="shared" si="23"/>
        <v>110.32983227848101</v>
      </c>
      <c r="N17" s="128">
        <f t="shared" si="15"/>
        <v>48333.333333333336</v>
      </c>
      <c r="O17" s="128">
        <f t="shared" si="10"/>
        <v>-13469.106333333337</v>
      </c>
      <c r="P17" s="129">
        <f t="shared" si="11"/>
        <v>72.132883448275848</v>
      </c>
      <c r="Q17" s="129">
        <f t="shared" si="14"/>
        <v>24.04429448275862</v>
      </c>
      <c r="R17" s="126">
        <v>33503.658000000003</v>
      </c>
      <c r="S17" s="128">
        <f t="shared" si="12"/>
        <v>1360.5689999999959</v>
      </c>
      <c r="T17" s="129">
        <f t="shared" si="24"/>
        <v>104.06095656778731</v>
      </c>
    </row>
    <row r="18" spans="1:23" s="109" customFormat="1" ht="23.25" x14ac:dyDescent="0.25">
      <c r="A18" s="76">
        <v>5</v>
      </c>
      <c r="B18" s="85" t="s">
        <v>157</v>
      </c>
      <c r="C18" s="77" t="s">
        <v>158</v>
      </c>
      <c r="D18" s="120">
        <v>0</v>
      </c>
      <c r="E18" s="120"/>
      <c r="F18" s="121">
        <f t="shared" si="13"/>
        <v>6.7789999999999999</v>
      </c>
      <c r="G18" s="120">
        <v>0</v>
      </c>
      <c r="H18" s="120">
        <v>4.5270000000000001</v>
      </c>
      <c r="I18" s="120">
        <v>2.2519999999999998</v>
      </c>
      <c r="J18" s="120">
        <v>0</v>
      </c>
      <c r="K18" s="122">
        <v>0</v>
      </c>
      <c r="L18" s="123">
        <f t="shared" si="9"/>
        <v>6.7789999999999999</v>
      </c>
      <c r="M18" s="124"/>
      <c r="N18" s="123">
        <f t="shared" si="15"/>
        <v>0</v>
      </c>
      <c r="O18" s="123">
        <f t="shared" si="10"/>
        <v>6.7789999999999999</v>
      </c>
      <c r="P18" s="124"/>
      <c r="Q18" s="124"/>
      <c r="R18" s="121">
        <v>0</v>
      </c>
      <c r="S18" s="123">
        <f t="shared" si="12"/>
        <v>6.7789999999999999</v>
      </c>
      <c r="T18" s="124"/>
      <c r="U18" s="158"/>
      <c r="V18" s="158"/>
    </row>
    <row r="19" spans="1:23" s="109" customFormat="1" ht="39" x14ac:dyDescent="0.25">
      <c r="A19" s="76">
        <v>6</v>
      </c>
      <c r="B19" s="85" t="s">
        <v>154</v>
      </c>
      <c r="C19" s="77" t="s">
        <v>36</v>
      </c>
      <c r="D19" s="120">
        <f>D20+D21+D22+D24+D23</f>
        <v>1148486.2349999999</v>
      </c>
      <c r="E19" s="120">
        <f>E20+E21+E22+E24+E23</f>
        <v>1024661.45</v>
      </c>
      <c r="F19" s="121">
        <f t="shared" si="13"/>
        <v>365942.89600000001</v>
      </c>
      <c r="G19" s="120">
        <f t="shared" ref="G19:K19" si="25">G20+G21+G22+G24+G23</f>
        <v>103730.772</v>
      </c>
      <c r="H19" s="120">
        <f t="shared" ref="H19:I19" si="26">H20+H21+H22+H24+H23</f>
        <v>124787.395</v>
      </c>
      <c r="I19" s="120">
        <f t="shared" si="26"/>
        <v>38829.207000000009</v>
      </c>
      <c r="J19" s="120">
        <f t="shared" si="25"/>
        <v>98595.522000000012</v>
      </c>
      <c r="K19" s="122">
        <f t="shared" si="25"/>
        <v>359177.7</v>
      </c>
      <c r="L19" s="123">
        <f t="shared" si="9"/>
        <v>6765.1959999999963</v>
      </c>
      <c r="M19" s="124">
        <f t="shared" si="23"/>
        <v>101.88352339246005</v>
      </c>
      <c r="N19" s="123">
        <f t="shared" si="15"/>
        <v>382828.74499999994</v>
      </c>
      <c r="O19" s="123">
        <f t="shared" si="10"/>
        <v>-16885.848999999929</v>
      </c>
      <c r="P19" s="124">
        <f t="shared" si="11"/>
        <v>95.589189886981984</v>
      </c>
      <c r="Q19" s="124">
        <f t="shared" si="14"/>
        <v>31.863063295660659</v>
      </c>
      <c r="R19" s="121">
        <f t="shared" ref="R19" si="27">R20+R21+R22+R24+R23</f>
        <v>318037.61600000004</v>
      </c>
      <c r="S19" s="123">
        <f t="shared" si="12"/>
        <v>47905.27999999997</v>
      </c>
      <c r="T19" s="124">
        <f t="shared" si="24"/>
        <v>115.06277169427655</v>
      </c>
      <c r="U19" s="158">
        <f>R21+R22+R20</f>
        <v>109609.242</v>
      </c>
      <c r="V19" s="158">
        <f>F20+F21+F22</f>
        <v>106125.51800000001</v>
      </c>
    </row>
    <row r="20" spans="1:23" s="111" customFormat="1" ht="34.5" customHeight="1" x14ac:dyDescent="0.25">
      <c r="A20" s="110" t="s">
        <v>132</v>
      </c>
      <c r="B20" s="175" t="s">
        <v>55</v>
      </c>
      <c r="C20" s="188" t="s">
        <v>42</v>
      </c>
      <c r="D20" s="125">
        <v>116436.235</v>
      </c>
      <c r="E20" s="125">
        <v>92667.25</v>
      </c>
      <c r="F20" s="126">
        <f t="shared" si="13"/>
        <v>34896.737000000001</v>
      </c>
      <c r="G20" s="125">
        <v>13619.357</v>
      </c>
      <c r="H20" s="125">
        <v>3898.9369999999999</v>
      </c>
      <c r="I20" s="125">
        <v>2387.5859999999998</v>
      </c>
      <c r="J20" s="125">
        <v>14990.857</v>
      </c>
      <c r="K20" s="127">
        <v>33000</v>
      </c>
      <c r="L20" s="128">
        <f t="shared" si="9"/>
        <v>1896.737000000001</v>
      </c>
      <c r="M20" s="129">
        <f t="shared" si="23"/>
        <v>105.74768787878787</v>
      </c>
      <c r="N20" s="156">
        <f t="shared" si="15"/>
        <v>38812.078333333331</v>
      </c>
      <c r="O20" s="128">
        <f t="shared" si="10"/>
        <v>-3915.3413333333301</v>
      </c>
      <c r="P20" s="129">
        <f t="shared" si="11"/>
        <v>89.91205443906702</v>
      </c>
      <c r="Q20" s="129">
        <f t="shared" si="14"/>
        <v>29.970684813022341</v>
      </c>
      <c r="R20" s="126">
        <v>33135.280999999995</v>
      </c>
      <c r="S20" s="128">
        <f t="shared" si="12"/>
        <v>1761.4560000000056</v>
      </c>
      <c r="T20" s="129">
        <f t="shared" si="24"/>
        <v>105.31595310750497</v>
      </c>
    </row>
    <row r="21" spans="1:23" s="111" customFormat="1" ht="34.5" customHeight="1" x14ac:dyDescent="0.25">
      <c r="A21" s="81" t="s">
        <v>133</v>
      </c>
      <c r="B21" s="175" t="s">
        <v>7</v>
      </c>
      <c r="C21" s="188"/>
      <c r="D21" s="125">
        <v>271200</v>
      </c>
      <c r="E21" s="125">
        <v>300000</v>
      </c>
      <c r="F21" s="126">
        <f t="shared" si="13"/>
        <v>70686.474000000002</v>
      </c>
      <c r="G21" s="125">
        <v>16688.975999999999</v>
      </c>
      <c r="H21" s="125">
        <v>18871.809000000001</v>
      </c>
      <c r="I21" s="125">
        <v>17285.559000000001</v>
      </c>
      <c r="J21" s="125">
        <v>17840.13</v>
      </c>
      <c r="K21" s="127">
        <v>68055</v>
      </c>
      <c r="L21" s="128">
        <f t="shared" si="9"/>
        <v>2631.474000000002</v>
      </c>
      <c r="M21" s="129">
        <f t="shared" si="23"/>
        <v>103.86668723826318</v>
      </c>
      <c r="N21" s="123">
        <f t="shared" si="15"/>
        <v>90400</v>
      </c>
      <c r="O21" s="128">
        <f t="shared" si="10"/>
        <v>-19713.525999999998</v>
      </c>
      <c r="P21" s="129">
        <f t="shared" si="11"/>
        <v>78.193002212389388</v>
      </c>
      <c r="Q21" s="129">
        <f t="shared" si="14"/>
        <v>26.064334070796463</v>
      </c>
      <c r="R21" s="126">
        <v>75700.50499999999</v>
      </c>
      <c r="S21" s="128">
        <f t="shared" si="12"/>
        <v>-5014.0309999999881</v>
      </c>
      <c r="T21" s="129">
        <f t="shared" si="24"/>
        <v>93.376489364238736</v>
      </c>
    </row>
    <row r="22" spans="1:23" s="111" customFormat="1" ht="34.5" customHeight="1" x14ac:dyDescent="0.25">
      <c r="A22" s="81" t="s">
        <v>134</v>
      </c>
      <c r="B22" s="175" t="s">
        <v>56</v>
      </c>
      <c r="C22" s="188"/>
      <c r="D22" s="125">
        <v>1200</v>
      </c>
      <c r="E22" s="125">
        <v>475</v>
      </c>
      <c r="F22" s="126">
        <f t="shared" si="13"/>
        <v>542.30700000000002</v>
      </c>
      <c r="G22" s="125">
        <v>247.57300000000001</v>
      </c>
      <c r="H22" s="125">
        <v>103.74299999999999</v>
      </c>
      <c r="I22" s="125">
        <v>29.167000000000002</v>
      </c>
      <c r="J22" s="125">
        <v>161.82400000000001</v>
      </c>
      <c r="K22" s="127">
        <v>477.8</v>
      </c>
      <c r="L22" s="128">
        <f t="shared" si="9"/>
        <v>64.507000000000005</v>
      </c>
      <c r="M22" s="129">
        <f t="shared" si="23"/>
        <v>113.50083717036416</v>
      </c>
      <c r="N22" s="123">
        <f t="shared" si="15"/>
        <v>400</v>
      </c>
      <c r="O22" s="128">
        <f t="shared" si="10"/>
        <v>142.30700000000002</v>
      </c>
      <c r="P22" s="129">
        <f t="shared" si="11"/>
        <v>135.57675</v>
      </c>
      <c r="Q22" s="129">
        <f t="shared" si="14"/>
        <v>45.192250000000001</v>
      </c>
      <c r="R22" s="126">
        <v>773.45600000000002</v>
      </c>
      <c r="S22" s="128">
        <f t="shared" si="12"/>
        <v>-231.149</v>
      </c>
      <c r="T22" s="129">
        <f t="shared" si="24"/>
        <v>70.114783517097294</v>
      </c>
      <c r="U22" s="129">
        <f>100-T22</f>
        <v>29.885216482902706</v>
      </c>
      <c r="V22" s="112"/>
      <c r="W22" s="113" t="e">
        <f>F20/#REF!*100</f>
        <v>#REF!</v>
      </c>
    </row>
    <row r="23" spans="1:23" s="115" customFormat="1" ht="34.5" customHeight="1" x14ac:dyDescent="0.25">
      <c r="A23" s="81" t="s">
        <v>135</v>
      </c>
      <c r="B23" s="175" t="s">
        <v>38</v>
      </c>
      <c r="C23" s="114" t="s">
        <v>37</v>
      </c>
      <c r="D23" s="125">
        <v>2050</v>
      </c>
      <c r="E23" s="125">
        <v>950</v>
      </c>
      <c r="F23" s="126">
        <f t="shared" si="13"/>
        <v>622.28700000000003</v>
      </c>
      <c r="G23" s="125">
        <v>94</v>
      </c>
      <c r="H23" s="125">
        <v>159.066</v>
      </c>
      <c r="I23" s="125">
        <v>113.41</v>
      </c>
      <c r="J23" s="125">
        <v>255.81100000000001</v>
      </c>
      <c r="K23" s="127">
        <v>567.9</v>
      </c>
      <c r="L23" s="128">
        <f t="shared" si="9"/>
        <v>54.387000000000057</v>
      </c>
      <c r="M23" s="129">
        <f t="shared" si="23"/>
        <v>109.57686212361332</v>
      </c>
      <c r="N23" s="123">
        <f t="shared" si="15"/>
        <v>683.33333333333337</v>
      </c>
      <c r="O23" s="128">
        <f t="shared" si="10"/>
        <v>-61.046333333333337</v>
      </c>
      <c r="P23" s="129">
        <f t="shared" si="11"/>
        <v>91.066390243902447</v>
      </c>
      <c r="Q23" s="129">
        <f t="shared" si="14"/>
        <v>30.355463414634148</v>
      </c>
      <c r="R23" s="126">
        <v>309.78700000000003</v>
      </c>
      <c r="S23" s="125">
        <f t="shared" si="12"/>
        <v>312.5</v>
      </c>
      <c r="T23" s="129">
        <f t="shared" si="24"/>
        <v>200.87576302427149</v>
      </c>
    </row>
    <row r="24" spans="1:23" s="111" customFormat="1" ht="34.5" customHeight="1" x14ac:dyDescent="0.25">
      <c r="A24" s="81" t="s">
        <v>167</v>
      </c>
      <c r="B24" s="175" t="s">
        <v>31</v>
      </c>
      <c r="C24" s="152" t="s">
        <v>32</v>
      </c>
      <c r="D24" s="125">
        <v>757600</v>
      </c>
      <c r="E24" s="125">
        <v>630569.19999999995</v>
      </c>
      <c r="F24" s="126">
        <f t="shared" si="13"/>
        <v>259195.09099999999</v>
      </c>
      <c r="G24" s="125">
        <v>73080.865999999995</v>
      </c>
      <c r="H24" s="125">
        <v>101753.84</v>
      </c>
      <c r="I24" s="125">
        <v>19013.485000000001</v>
      </c>
      <c r="J24" s="125">
        <v>65346.9</v>
      </c>
      <c r="K24" s="127">
        <v>257077</v>
      </c>
      <c r="L24" s="128">
        <f t="shared" si="9"/>
        <v>2118.0909999999858</v>
      </c>
      <c r="M24" s="129">
        <f t="shared" si="23"/>
        <v>100.82391306884708</v>
      </c>
      <c r="N24" s="123">
        <f t="shared" si="15"/>
        <v>252533.33333333334</v>
      </c>
      <c r="O24" s="128">
        <f t="shared" si="10"/>
        <v>6661.7576666666428</v>
      </c>
      <c r="P24" s="129">
        <f t="shared" si="11"/>
        <v>102.63797162090813</v>
      </c>
      <c r="Q24" s="129">
        <f t="shared" si="14"/>
        <v>34.212657206969375</v>
      </c>
      <c r="R24" s="126">
        <v>208118.587</v>
      </c>
      <c r="S24" s="128">
        <f t="shared" si="12"/>
        <v>51076.503999999986</v>
      </c>
      <c r="T24" s="129">
        <f t="shared" si="24"/>
        <v>124.54201940165967</v>
      </c>
      <c r="V24" s="112"/>
      <c r="W24" s="113" t="e">
        <f>F24/#REF!*100</f>
        <v>#REF!</v>
      </c>
    </row>
    <row r="25" spans="1:23" s="80" customFormat="1" ht="39" x14ac:dyDescent="0.25">
      <c r="A25" s="76">
        <v>7</v>
      </c>
      <c r="B25" s="85" t="s">
        <v>44</v>
      </c>
      <c r="C25" s="77" t="s">
        <v>17</v>
      </c>
      <c r="D25" s="120">
        <v>950</v>
      </c>
      <c r="E25" s="120">
        <v>450</v>
      </c>
      <c r="F25" s="121">
        <f t="shared" si="13"/>
        <v>85.632999999999996</v>
      </c>
      <c r="G25" s="120">
        <v>1.284</v>
      </c>
      <c r="H25" s="120">
        <v>40.808</v>
      </c>
      <c r="I25" s="120">
        <v>10.311</v>
      </c>
      <c r="J25" s="120">
        <v>33.229999999999997</v>
      </c>
      <c r="K25" s="122">
        <v>85</v>
      </c>
      <c r="L25" s="123">
        <f t="shared" si="9"/>
        <v>0.63299999999999557</v>
      </c>
      <c r="M25" s="124">
        <f t="shared" si="23"/>
        <v>100.74470588235293</v>
      </c>
      <c r="N25" s="123">
        <f t="shared" si="15"/>
        <v>316.66666666666669</v>
      </c>
      <c r="O25" s="123">
        <f t="shared" si="10"/>
        <v>-231.0336666666667</v>
      </c>
      <c r="P25" s="124">
        <f t="shared" si="11"/>
        <v>27.041999999999998</v>
      </c>
      <c r="Q25" s="124">
        <f t="shared" si="14"/>
        <v>9.0139999999999993</v>
      </c>
      <c r="R25" s="121">
        <v>139.57</v>
      </c>
      <c r="S25" s="123">
        <f t="shared" si="12"/>
        <v>-53.936999999999998</v>
      </c>
      <c r="T25" s="124">
        <f>F25/R25*100</f>
        <v>61.354875689618119</v>
      </c>
      <c r="U25" s="79">
        <f>100-T25</f>
        <v>38.645124310381881</v>
      </c>
    </row>
    <row r="26" spans="1:23" s="80" customFormat="1" ht="23.25" x14ac:dyDescent="0.25">
      <c r="A26" s="76">
        <f t="shared" ref="A26:A33" si="28">A25+1</f>
        <v>8</v>
      </c>
      <c r="B26" s="85" t="s">
        <v>68</v>
      </c>
      <c r="C26" s="77" t="s">
        <v>67</v>
      </c>
      <c r="D26" s="120">
        <v>12000</v>
      </c>
      <c r="E26" s="120">
        <v>12000</v>
      </c>
      <c r="F26" s="121">
        <f t="shared" si="13"/>
        <v>4200.6499999999996</v>
      </c>
      <c r="G26" s="120">
        <v>501.13</v>
      </c>
      <c r="H26" s="120">
        <v>1239.6949999999999</v>
      </c>
      <c r="I26" s="120">
        <v>1250.075</v>
      </c>
      <c r="J26" s="120">
        <v>1209.75</v>
      </c>
      <c r="K26" s="122">
        <v>3950</v>
      </c>
      <c r="L26" s="123">
        <f t="shared" si="9"/>
        <v>250.64999999999964</v>
      </c>
      <c r="M26" s="124">
        <f t="shared" si="23"/>
        <v>106.34556962025317</v>
      </c>
      <c r="N26" s="123">
        <f t="shared" si="15"/>
        <v>4000</v>
      </c>
      <c r="O26" s="123">
        <f t="shared" si="10"/>
        <v>200.64999999999964</v>
      </c>
      <c r="P26" s="124">
        <f t="shared" si="11"/>
        <v>105.01624999999999</v>
      </c>
      <c r="Q26" s="124">
        <f t="shared" si="14"/>
        <v>35.005416666666662</v>
      </c>
      <c r="R26" s="121">
        <v>4872.3790000000008</v>
      </c>
      <c r="S26" s="123">
        <f t="shared" si="12"/>
        <v>-671.72900000000118</v>
      </c>
      <c r="T26" s="124">
        <f>F26/R26*100</f>
        <v>86.213531418635512</v>
      </c>
    </row>
    <row r="27" spans="1:23" s="80" customFormat="1" ht="23.25" x14ac:dyDescent="0.25">
      <c r="A27" s="76">
        <f t="shared" si="28"/>
        <v>9</v>
      </c>
      <c r="B27" s="85" t="s">
        <v>8</v>
      </c>
      <c r="C27" s="77" t="s">
        <v>18</v>
      </c>
      <c r="D27" s="120">
        <v>6.1</v>
      </c>
      <c r="E27" s="120">
        <v>5.5</v>
      </c>
      <c r="F27" s="121">
        <f t="shared" si="13"/>
        <v>0</v>
      </c>
      <c r="G27" s="120">
        <v>0</v>
      </c>
      <c r="H27" s="120"/>
      <c r="I27" s="120">
        <v>0</v>
      </c>
      <c r="J27" s="120">
        <v>0</v>
      </c>
      <c r="K27" s="122">
        <v>0</v>
      </c>
      <c r="L27" s="123">
        <f t="shared" si="9"/>
        <v>0</v>
      </c>
      <c r="M27" s="124"/>
      <c r="N27" s="123">
        <f t="shared" si="15"/>
        <v>2.0333333333333332</v>
      </c>
      <c r="O27" s="123">
        <f t="shared" si="10"/>
        <v>-2.0333333333333332</v>
      </c>
      <c r="P27" s="124">
        <f t="shared" si="11"/>
        <v>0</v>
      </c>
      <c r="Q27" s="124">
        <f t="shared" si="14"/>
        <v>0</v>
      </c>
      <c r="R27" s="121">
        <v>0.38</v>
      </c>
      <c r="S27" s="123">
        <f t="shared" si="12"/>
        <v>-0.38</v>
      </c>
      <c r="T27" s="124"/>
    </row>
    <row r="28" spans="1:23" s="80" customFormat="1" ht="58.5" x14ac:dyDescent="0.25">
      <c r="A28" s="76">
        <f t="shared" si="28"/>
        <v>10</v>
      </c>
      <c r="B28" s="143" t="s">
        <v>88</v>
      </c>
      <c r="C28" s="104" t="s">
        <v>89</v>
      </c>
      <c r="D28" s="120">
        <v>0.05</v>
      </c>
      <c r="E28" s="120">
        <v>4.5</v>
      </c>
      <c r="F28" s="121">
        <f t="shared" si="13"/>
        <v>5.1849999999999996</v>
      </c>
      <c r="G28" s="120">
        <v>5.1849999999999996</v>
      </c>
      <c r="H28" s="120"/>
      <c r="I28" s="120">
        <v>0</v>
      </c>
      <c r="J28" s="120">
        <v>0</v>
      </c>
      <c r="K28" s="122">
        <v>0.05</v>
      </c>
      <c r="L28" s="123">
        <f t="shared" si="9"/>
        <v>5.1349999999999998</v>
      </c>
      <c r="M28" s="124">
        <f t="shared" ref="M28:M39" si="29">F28/K28*100</f>
        <v>10369.999999999998</v>
      </c>
      <c r="N28" s="123">
        <f t="shared" si="15"/>
        <v>1.6666666666666666E-2</v>
      </c>
      <c r="O28" s="123">
        <f t="shared" si="10"/>
        <v>5.168333333333333</v>
      </c>
      <c r="P28" s="124">
        <f t="shared" si="11"/>
        <v>31109.999999999996</v>
      </c>
      <c r="Q28" s="124">
        <f t="shared" si="14"/>
        <v>10369.999999999998</v>
      </c>
      <c r="R28" s="121">
        <v>0</v>
      </c>
      <c r="S28" s="123">
        <f t="shared" si="12"/>
        <v>5.1849999999999996</v>
      </c>
      <c r="T28" s="124"/>
    </row>
    <row r="29" spans="1:23" s="80" customFormat="1" ht="23.25" x14ac:dyDescent="0.25">
      <c r="A29" s="76">
        <f t="shared" si="28"/>
        <v>11</v>
      </c>
      <c r="B29" s="139" t="s">
        <v>28</v>
      </c>
      <c r="C29" s="77" t="s">
        <v>24</v>
      </c>
      <c r="D29" s="120">
        <v>14300</v>
      </c>
      <c r="E29" s="120">
        <v>8804.73</v>
      </c>
      <c r="F29" s="121">
        <f t="shared" si="13"/>
        <v>2629.6210000000001</v>
      </c>
      <c r="G29" s="120">
        <v>1031.287</v>
      </c>
      <c r="H29" s="120">
        <v>1145.06</v>
      </c>
      <c r="I29" s="120">
        <v>101.938</v>
      </c>
      <c r="J29" s="120">
        <v>351.33600000000001</v>
      </c>
      <c r="K29" s="122">
        <v>2515</v>
      </c>
      <c r="L29" s="123">
        <f t="shared" si="9"/>
        <v>114.62100000000009</v>
      </c>
      <c r="M29" s="124">
        <f t="shared" si="29"/>
        <v>104.55749502982108</v>
      </c>
      <c r="N29" s="123">
        <f t="shared" si="15"/>
        <v>4766.666666666667</v>
      </c>
      <c r="O29" s="123">
        <f t="shared" si="10"/>
        <v>-2137.0456666666669</v>
      </c>
      <c r="P29" s="124">
        <f t="shared" si="11"/>
        <v>55.166874125874124</v>
      </c>
      <c r="Q29" s="124">
        <f t="shared" si="14"/>
        <v>18.388958041958041</v>
      </c>
      <c r="R29" s="121">
        <v>3223.8270000000002</v>
      </c>
      <c r="S29" s="123">
        <f t="shared" si="12"/>
        <v>-594.20600000000013</v>
      </c>
      <c r="T29" s="124">
        <f t="shared" ref="T29:T39" si="30">F29/R29*100</f>
        <v>81.56830375823516</v>
      </c>
      <c r="U29" s="79">
        <f>J29-'[1]2021'!$I$29</f>
        <v>-542.63099999999997</v>
      </c>
    </row>
    <row r="30" spans="1:23" s="80" customFormat="1" ht="39" x14ac:dyDescent="0.25">
      <c r="A30" s="76">
        <f t="shared" si="28"/>
        <v>12</v>
      </c>
      <c r="B30" s="139" t="s">
        <v>78</v>
      </c>
      <c r="C30" s="77" t="s">
        <v>77</v>
      </c>
      <c r="D30" s="120">
        <v>560</v>
      </c>
      <c r="E30" s="120">
        <v>410</v>
      </c>
      <c r="F30" s="121">
        <f t="shared" si="13"/>
        <v>86.575000000000003</v>
      </c>
      <c r="G30" s="120">
        <v>79.635000000000005</v>
      </c>
      <c r="H30" s="120">
        <v>6.94</v>
      </c>
      <c r="I30" s="120">
        <v>0</v>
      </c>
      <c r="J30" s="120">
        <v>0</v>
      </c>
      <c r="K30" s="122">
        <v>86</v>
      </c>
      <c r="L30" s="123">
        <f t="shared" si="9"/>
        <v>0.57500000000000284</v>
      </c>
      <c r="M30" s="124">
        <f t="shared" si="29"/>
        <v>100.66860465116278</v>
      </c>
      <c r="N30" s="123">
        <f t="shared" si="15"/>
        <v>186.66666666666666</v>
      </c>
      <c r="O30" s="123">
        <f t="shared" si="10"/>
        <v>-100.09166666666665</v>
      </c>
      <c r="P30" s="124">
        <f t="shared" si="11"/>
        <v>46.379464285714292</v>
      </c>
      <c r="Q30" s="124">
        <f t="shared" si="14"/>
        <v>15.459821428571431</v>
      </c>
      <c r="R30" s="121">
        <v>96.92</v>
      </c>
      <c r="S30" s="123">
        <f t="shared" si="12"/>
        <v>-10.344999999999999</v>
      </c>
      <c r="T30" s="124">
        <f t="shared" si="30"/>
        <v>89.326248452331825</v>
      </c>
    </row>
    <row r="31" spans="1:23" s="80" customFormat="1" ht="23.25" x14ac:dyDescent="0.25">
      <c r="A31" s="76">
        <f t="shared" si="28"/>
        <v>13</v>
      </c>
      <c r="B31" s="139" t="s">
        <v>108</v>
      </c>
      <c r="C31" s="77" t="s">
        <v>109</v>
      </c>
      <c r="D31" s="120">
        <v>18563.54</v>
      </c>
      <c r="E31" s="120">
        <v>15000</v>
      </c>
      <c r="F31" s="121">
        <f t="shared" si="13"/>
        <v>5624.5360000000001</v>
      </c>
      <c r="G31" s="120">
        <v>1407.4690000000001</v>
      </c>
      <c r="H31" s="120">
        <v>1637.8989999999999</v>
      </c>
      <c r="I31" s="120">
        <v>1178.489</v>
      </c>
      <c r="J31" s="120">
        <v>1400.6790000000001</v>
      </c>
      <c r="K31" s="122">
        <v>5320</v>
      </c>
      <c r="L31" s="123">
        <f t="shared" si="9"/>
        <v>304.53600000000006</v>
      </c>
      <c r="M31" s="124">
        <f t="shared" si="29"/>
        <v>105.72436090225563</v>
      </c>
      <c r="N31" s="123">
        <f t="shared" si="15"/>
        <v>6187.8466666666673</v>
      </c>
      <c r="O31" s="123">
        <f t="shared" si="10"/>
        <v>-563.3106666666672</v>
      </c>
      <c r="P31" s="124">
        <f t="shared" si="11"/>
        <v>90.896499266842412</v>
      </c>
      <c r="Q31" s="124">
        <f t="shared" si="14"/>
        <v>30.298833088947475</v>
      </c>
      <c r="R31" s="121">
        <v>5778.8729999999996</v>
      </c>
      <c r="S31" s="123">
        <f t="shared" si="12"/>
        <v>-154.33699999999953</v>
      </c>
      <c r="T31" s="124">
        <f t="shared" si="30"/>
        <v>97.329288946131882</v>
      </c>
    </row>
    <row r="32" spans="1:23" s="80" customFormat="1" ht="59.25" customHeight="1" x14ac:dyDescent="0.25">
      <c r="A32" s="76">
        <f t="shared" si="28"/>
        <v>14</v>
      </c>
      <c r="B32" s="139" t="s">
        <v>151</v>
      </c>
      <c r="C32" s="77" t="s">
        <v>152</v>
      </c>
      <c r="D32" s="120">
        <v>35</v>
      </c>
      <c r="E32" s="120"/>
      <c r="F32" s="121">
        <f t="shared" si="13"/>
        <v>18.361999999999998</v>
      </c>
      <c r="G32" s="120">
        <v>8.39</v>
      </c>
      <c r="H32" s="120">
        <v>6.0720000000000001</v>
      </c>
      <c r="I32" s="120">
        <v>1.95</v>
      </c>
      <c r="J32" s="120">
        <v>1.95</v>
      </c>
      <c r="K32" s="122">
        <v>17.7</v>
      </c>
      <c r="L32" s="123">
        <f t="shared" si="9"/>
        <v>0.66199999999999903</v>
      </c>
      <c r="M32" s="124">
        <f t="shared" si="29"/>
        <v>103.74011299435028</v>
      </c>
      <c r="N32" s="123">
        <f t="shared" si="15"/>
        <v>11.666666666666666</v>
      </c>
      <c r="O32" s="123">
        <f t="shared" ref="O32" si="31">F32-N32</f>
        <v>6.6953333333333322</v>
      </c>
      <c r="P32" s="124">
        <f>F32/N32*100</f>
        <v>157.38857142857142</v>
      </c>
      <c r="Q32" s="124">
        <f t="shared" si="14"/>
        <v>52.462857142857132</v>
      </c>
      <c r="R32" s="121">
        <v>4.391</v>
      </c>
      <c r="S32" s="123">
        <f t="shared" si="12"/>
        <v>13.970999999999998</v>
      </c>
      <c r="T32" s="124">
        <f t="shared" si="30"/>
        <v>418.17353677977678</v>
      </c>
    </row>
    <row r="33" spans="1:27" s="80" customFormat="1" ht="23.25" x14ac:dyDescent="0.25">
      <c r="A33" s="76">
        <f t="shared" si="28"/>
        <v>15</v>
      </c>
      <c r="B33" s="139" t="s">
        <v>80</v>
      </c>
      <c r="C33" s="77" t="s">
        <v>79</v>
      </c>
      <c r="D33" s="120">
        <f>SUM(D34:D37)</f>
        <v>34832</v>
      </c>
      <c r="E33" s="120">
        <f>SUM(E34:E37)</f>
        <v>27762.799999999999</v>
      </c>
      <c r="F33" s="121">
        <f t="shared" si="13"/>
        <v>11137.337</v>
      </c>
      <c r="G33" s="120">
        <f t="shared" ref="G33:K33" si="32">SUM(G34:G37)</f>
        <v>2780.7419999999997</v>
      </c>
      <c r="H33" s="120">
        <f t="shared" ref="H33:I33" si="33">SUM(H34:H37)</f>
        <v>3150.4549999999999</v>
      </c>
      <c r="I33" s="120">
        <f t="shared" si="33"/>
        <v>1405.0839999999998</v>
      </c>
      <c r="J33" s="120">
        <f t="shared" si="32"/>
        <v>3801.056</v>
      </c>
      <c r="K33" s="122">
        <f t="shared" si="32"/>
        <v>10899.391</v>
      </c>
      <c r="L33" s="123">
        <f t="shared" si="9"/>
        <v>237.94599999999991</v>
      </c>
      <c r="M33" s="124">
        <f t="shared" si="29"/>
        <v>102.18311279960504</v>
      </c>
      <c r="N33" s="123">
        <f t="shared" si="15"/>
        <v>11610.666666666666</v>
      </c>
      <c r="O33" s="123">
        <f t="shared" si="10"/>
        <v>-473.32966666666653</v>
      </c>
      <c r="P33" s="124">
        <f t="shared" si="11"/>
        <v>95.923320509875978</v>
      </c>
      <c r="Q33" s="124">
        <f t="shared" si="14"/>
        <v>31.974440169958658</v>
      </c>
      <c r="R33" s="121">
        <f t="shared" ref="R33" si="34">SUM(R34:R37)</f>
        <v>9568.1930000000011</v>
      </c>
      <c r="S33" s="123">
        <f t="shared" si="12"/>
        <v>1569.1439999999984</v>
      </c>
      <c r="T33" s="124">
        <f t="shared" si="30"/>
        <v>116.39958558528238</v>
      </c>
      <c r="U33" s="78">
        <f>J33-'[1]2021'!$I$33</f>
        <v>1244.779</v>
      </c>
    </row>
    <row r="34" spans="1:27" s="84" customFormat="1" ht="39" x14ac:dyDescent="0.25">
      <c r="A34" s="81" t="s">
        <v>168</v>
      </c>
      <c r="B34" s="140" t="s">
        <v>72</v>
      </c>
      <c r="C34" s="152" t="s">
        <v>71</v>
      </c>
      <c r="D34" s="125">
        <v>1500</v>
      </c>
      <c r="E34" s="125">
        <v>1300</v>
      </c>
      <c r="F34" s="126">
        <f t="shared" si="13"/>
        <v>296.71699999999998</v>
      </c>
      <c r="G34" s="125">
        <v>105.29900000000001</v>
      </c>
      <c r="H34" s="125">
        <v>116.64</v>
      </c>
      <c r="I34" s="125">
        <v>11.1</v>
      </c>
      <c r="J34" s="125">
        <v>63.677999999999997</v>
      </c>
      <c r="K34" s="127">
        <v>273</v>
      </c>
      <c r="L34" s="128">
        <f t="shared" si="9"/>
        <v>23.716999999999985</v>
      </c>
      <c r="M34" s="129">
        <f t="shared" si="29"/>
        <v>108.68754578754579</v>
      </c>
      <c r="N34" s="123">
        <f t="shared" si="15"/>
        <v>500</v>
      </c>
      <c r="O34" s="128">
        <f t="shared" si="10"/>
        <v>-203.28300000000002</v>
      </c>
      <c r="P34" s="129">
        <f t="shared" si="11"/>
        <v>59.343400000000003</v>
      </c>
      <c r="Q34" s="129">
        <f t="shared" si="14"/>
        <v>19.781133333333329</v>
      </c>
      <c r="R34" s="126">
        <v>497.947</v>
      </c>
      <c r="S34" s="128">
        <f t="shared" si="12"/>
        <v>-201.23000000000002</v>
      </c>
      <c r="T34" s="129">
        <f t="shared" si="30"/>
        <v>59.588068609711478</v>
      </c>
      <c r="U34" s="129">
        <f>T34-100</f>
        <v>-40.411931390288522</v>
      </c>
      <c r="V34" s="82"/>
    </row>
    <row r="35" spans="1:27" s="84" customFormat="1" ht="23.25" x14ac:dyDescent="0.25">
      <c r="A35" s="81" t="s">
        <v>169</v>
      </c>
      <c r="B35" s="141" t="s">
        <v>57</v>
      </c>
      <c r="C35" s="68" t="s">
        <v>58</v>
      </c>
      <c r="D35" s="125">
        <v>32000</v>
      </c>
      <c r="E35" s="125">
        <v>24922.799999999999</v>
      </c>
      <c r="F35" s="126">
        <f t="shared" si="13"/>
        <v>10619.442000000001</v>
      </c>
      <c r="G35" s="125">
        <v>2558.1509999999998</v>
      </c>
      <c r="H35" s="125">
        <v>2929.9290000000001</v>
      </c>
      <c r="I35" s="125">
        <v>1393.9839999999999</v>
      </c>
      <c r="J35" s="125">
        <v>3737.3780000000002</v>
      </c>
      <c r="K35" s="127">
        <v>10406.290999999999</v>
      </c>
      <c r="L35" s="128">
        <f t="shared" si="9"/>
        <v>213.15100000000166</v>
      </c>
      <c r="M35" s="129">
        <f t="shared" si="29"/>
        <v>102.04828982775902</v>
      </c>
      <c r="N35" s="123">
        <f t="shared" si="15"/>
        <v>10666.666666666666</v>
      </c>
      <c r="O35" s="128">
        <f t="shared" si="10"/>
        <v>-47.224666666665144</v>
      </c>
      <c r="P35" s="129">
        <f t="shared" si="11"/>
        <v>99.55726875000002</v>
      </c>
      <c r="Q35" s="129">
        <f t="shared" si="14"/>
        <v>33.185756250000004</v>
      </c>
      <c r="R35" s="126">
        <v>8591.8670000000002</v>
      </c>
      <c r="S35" s="128">
        <f t="shared" si="12"/>
        <v>2027.5750000000007</v>
      </c>
      <c r="T35" s="129">
        <f t="shared" si="30"/>
        <v>123.59877079102833</v>
      </c>
      <c r="U35" s="129">
        <f>T35-100</f>
        <v>23.598770791028329</v>
      </c>
      <c r="V35" s="83"/>
    </row>
    <row r="36" spans="1:27" s="84" customFormat="1" ht="39" x14ac:dyDescent="0.25">
      <c r="A36" s="81" t="s">
        <v>170</v>
      </c>
      <c r="B36" s="141" t="s">
        <v>76</v>
      </c>
      <c r="C36" s="68" t="s">
        <v>73</v>
      </c>
      <c r="D36" s="125">
        <v>1250</v>
      </c>
      <c r="E36" s="125">
        <v>1400</v>
      </c>
      <c r="F36" s="126">
        <f t="shared" si="13"/>
        <v>204.708</v>
      </c>
      <c r="G36" s="125">
        <v>109.502</v>
      </c>
      <c r="H36" s="125">
        <v>95.206000000000003</v>
      </c>
      <c r="I36" s="125">
        <v>0</v>
      </c>
      <c r="J36" s="125">
        <v>0</v>
      </c>
      <c r="K36" s="127">
        <v>203.7</v>
      </c>
      <c r="L36" s="128">
        <f t="shared" si="9"/>
        <v>1.0080000000000098</v>
      </c>
      <c r="M36" s="129">
        <f t="shared" si="29"/>
        <v>100.49484536082474</v>
      </c>
      <c r="N36" s="123">
        <f t="shared" si="15"/>
        <v>416.66666666666669</v>
      </c>
      <c r="O36" s="128">
        <f t="shared" si="10"/>
        <v>-211.95866666666669</v>
      </c>
      <c r="P36" s="129">
        <f t="shared" si="11"/>
        <v>49.129919999999998</v>
      </c>
      <c r="Q36" s="129">
        <f t="shared" si="14"/>
        <v>16.376640000000002</v>
      </c>
      <c r="R36" s="126">
        <v>457.43899999999996</v>
      </c>
      <c r="S36" s="128">
        <f t="shared" si="12"/>
        <v>-252.73099999999997</v>
      </c>
      <c r="T36" s="129">
        <f t="shared" si="30"/>
        <v>44.75088481742921</v>
      </c>
    </row>
    <row r="37" spans="1:27" s="84" customFormat="1" ht="97.5" x14ac:dyDescent="0.25">
      <c r="A37" s="81" t="s">
        <v>171</v>
      </c>
      <c r="B37" s="142" t="s">
        <v>75</v>
      </c>
      <c r="C37" s="68" t="s">
        <v>74</v>
      </c>
      <c r="D37" s="125">
        <v>82</v>
      </c>
      <c r="E37" s="125">
        <v>140</v>
      </c>
      <c r="F37" s="126">
        <f t="shared" si="13"/>
        <v>16.47</v>
      </c>
      <c r="G37" s="125">
        <v>7.79</v>
      </c>
      <c r="H37" s="125">
        <v>8.68</v>
      </c>
      <c r="I37" s="125">
        <v>0</v>
      </c>
      <c r="J37" s="125">
        <v>0</v>
      </c>
      <c r="K37" s="127">
        <v>16.399999999999999</v>
      </c>
      <c r="L37" s="128">
        <f t="shared" si="9"/>
        <v>7.0000000000000284E-2</v>
      </c>
      <c r="M37" s="129">
        <f t="shared" si="29"/>
        <v>100.42682926829269</v>
      </c>
      <c r="N37" s="123">
        <f t="shared" si="15"/>
        <v>27.333333333333332</v>
      </c>
      <c r="O37" s="128">
        <f t="shared" si="10"/>
        <v>-10.863333333333333</v>
      </c>
      <c r="P37" s="129">
        <f t="shared" si="11"/>
        <v>60.256097560975604</v>
      </c>
      <c r="Q37" s="129">
        <f t="shared" si="14"/>
        <v>20.085365853658534</v>
      </c>
      <c r="R37" s="126">
        <v>20.94</v>
      </c>
      <c r="S37" s="128">
        <f t="shared" si="12"/>
        <v>-4.4700000000000024</v>
      </c>
      <c r="T37" s="129">
        <f t="shared" si="30"/>
        <v>78.653295128939817</v>
      </c>
    </row>
    <row r="38" spans="1:27" s="80" customFormat="1" ht="39" x14ac:dyDescent="0.25">
      <c r="A38" s="76">
        <v>16</v>
      </c>
      <c r="B38" s="143" t="s">
        <v>33</v>
      </c>
      <c r="C38" s="77" t="s">
        <v>19</v>
      </c>
      <c r="D38" s="120">
        <v>12300</v>
      </c>
      <c r="E38" s="120">
        <v>12000</v>
      </c>
      <c r="F38" s="121">
        <f t="shared" si="13"/>
        <v>3708.6959999999999</v>
      </c>
      <c r="G38" s="120">
        <v>1496.537</v>
      </c>
      <c r="H38" s="120">
        <v>908.92200000000003</v>
      </c>
      <c r="I38" s="120">
        <v>518.16800000000001</v>
      </c>
      <c r="J38" s="120">
        <v>785.06899999999996</v>
      </c>
      <c r="K38" s="122">
        <v>3683</v>
      </c>
      <c r="L38" s="123">
        <f t="shared" si="9"/>
        <v>25.695999999999913</v>
      </c>
      <c r="M38" s="124">
        <f t="shared" si="29"/>
        <v>100.69769209883248</v>
      </c>
      <c r="N38" s="123">
        <f t="shared" si="15"/>
        <v>4100</v>
      </c>
      <c r="O38" s="123">
        <f t="shared" si="10"/>
        <v>-391.30400000000009</v>
      </c>
      <c r="P38" s="124">
        <f t="shared" si="11"/>
        <v>90.456000000000003</v>
      </c>
      <c r="Q38" s="124">
        <f t="shared" si="14"/>
        <v>30.152000000000001</v>
      </c>
      <c r="R38" s="121">
        <v>3726.7980000000002</v>
      </c>
      <c r="S38" s="123">
        <f t="shared" si="12"/>
        <v>-18.102000000000317</v>
      </c>
      <c r="T38" s="124">
        <f t="shared" si="30"/>
        <v>99.514274720550986</v>
      </c>
      <c r="U38" s="78">
        <f>J38-'[1]2021'!$I$38</f>
        <v>-223.83300000000008</v>
      </c>
    </row>
    <row r="39" spans="1:27" s="80" customFormat="1" ht="23.25" x14ac:dyDescent="0.25">
      <c r="A39" s="76">
        <f t="shared" ref="A39:A45" si="35">A38+1</f>
        <v>17</v>
      </c>
      <c r="B39" s="85" t="s">
        <v>52</v>
      </c>
      <c r="C39" s="77" t="s">
        <v>15</v>
      </c>
      <c r="D39" s="120">
        <v>600</v>
      </c>
      <c r="E39" s="120">
        <v>600.5</v>
      </c>
      <c r="F39" s="121">
        <f t="shared" si="13"/>
        <v>106.68299999999999</v>
      </c>
      <c r="G39" s="120">
        <v>46.207000000000001</v>
      </c>
      <c r="H39" s="120">
        <v>38.994</v>
      </c>
      <c r="I39" s="120">
        <v>5.9279999999999999</v>
      </c>
      <c r="J39" s="120">
        <v>15.554</v>
      </c>
      <c r="K39" s="122">
        <v>102.101</v>
      </c>
      <c r="L39" s="123">
        <f t="shared" si="9"/>
        <v>4.5819999999999936</v>
      </c>
      <c r="M39" s="124">
        <f t="shared" si="29"/>
        <v>104.48771314678602</v>
      </c>
      <c r="N39" s="123">
        <f t="shared" si="15"/>
        <v>200</v>
      </c>
      <c r="O39" s="123">
        <f t="shared" si="10"/>
        <v>-93.317000000000007</v>
      </c>
      <c r="P39" s="124">
        <f t="shared" si="11"/>
        <v>53.341499999999996</v>
      </c>
      <c r="Q39" s="124">
        <f t="shared" si="14"/>
        <v>17.7805</v>
      </c>
      <c r="R39" s="121">
        <v>151.83499999999998</v>
      </c>
      <c r="S39" s="123">
        <f t="shared" si="12"/>
        <v>-45.151999999999987</v>
      </c>
      <c r="T39" s="124">
        <f t="shared" si="30"/>
        <v>70.262455955477989</v>
      </c>
      <c r="U39" s="79">
        <f>100-T39</f>
        <v>29.737544044522011</v>
      </c>
    </row>
    <row r="40" spans="1:27" s="80" customFormat="1" ht="78" x14ac:dyDescent="0.25">
      <c r="A40" s="76">
        <f t="shared" si="35"/>
        <v>18</v>
      </c>
      <c r="B40" s="85" t="s">
        <v>96</v>
      </c>
      <c r="C40" s="77" t="s">
        <v>95</v>
      </c>
      <c r="D40" s="120">
        <v>2.6</v>
      </c>
      <c r="E40" s="120">
        <v>2.5499999999999998</v>
      </c>
      <c r="F40" s="121">
        <f t="shared" si="13"/>
        <v>0</v>
      </c>
      <c r="G40" s="120">
        <v>0</v>
      </c>
      <c r="H40" s="120">
        <v>0</v>
      </c>
      <c r="I40" s="120">
        <v>0</v>
      </c>
      <c r="J40" s="120">
        <v>0</v>
      </c>
      <c r="K40" s="122">
        <v>0</v>
      </c>
      <c r="L40" s="123">
        <f t="shared" si="9"/>
        <v>0</v>
      </c>
      <c r="M40" s="124"/>
      <c r="N40" s="123">
        <f t="shared" si="15"/>
        <v>0.8666666666666667</v>
      </c>
      <c r="O40" s="123">
        <f t="shared" si="10"/>
        <v>-0.8666666666666667</v>
      </c>
      <c r="P40" s="124"/>
      <c r="Q40" s="124">
        <f t="shared" si="14"/>
        <v>0</v>
      </c>
      <c r="R40" s="121">
        <v>0</v>
      </c>
      <c r="S40" s="123">
        <f t="shared" si="12"/>
        <v>0</v>
      </c>
      <c r="T40" s="124"/>
    </row>
    <row r="41" spans="1:27" s="80" customFormat="1" ht="23.25" x14ac:dyDescent="0.25">
      <c r="A41" s="76">
        <f t="shared" si="35"/>
        <v>19</v>
      </c>
      <c r="B41" s="108" t="s">
        <v>59</v>
      </c>
      <c r="C41" s="34" t="s">
        <v>60</v>
      </c>
      <c r="D41" s="120">
        <v>235</v>
      </c>
      <c r="E41" s="120">
        <v>70</v>
      </c>
      <c r="F41" s="121">
        <f t="shared" si="13"/>
        <v>0</v>
      </c>
      <c r="G41" s="120">
        <v>0</v>
      </c>
      <c r="H41" s="120">
        <v>0</v>
      </c>
      <c r="I41" s="120">
        <v>0</v>
      </c>
      <c r="J41" s="120">
        <v>0</v>
      </c>
      <c r="K41" s="122">
        <v>0</v>
      </c>
      <c r="L41" s="123">
        <f t="shared" si="9"/>
        <v>0</v>
      </c>
      <c r="M41" s="124"/>
      <c r="N41" s="123">
        <f t="shared" si="15"/>
        <v>78.333333333333329</v>
      </c>
      <c r="O41" s="123">
        <f t="shared" si="10"/>
        <v>-78.333333333333329</v>
      </c>
      <c r="P41" s="124">
        <f t="shared" ref="P41:P47" si="36">F41/N41*100</f>
        <v>0</v>
      </c>
      <c r="Q41" s="124">
        <f t="shared" si="14"/>
        <v>0</v>
      </c>
      <c r="R41" s="121">
        <v>0</v>
      </c>
      <c r="S41" s="123">
        <f t="shared" si="12"/>
        <v>0</v>
      </c>
      <c r="T41" s="124"/>
    </row>
    <row r="42" spans="1:27" s="80" customFormat="1" ht="23.25" x14ac:dyDescent="0.25">
      <c r="A42" s="76">
        <f t="shared" si="35"/>
        <v>20</v>
      </c>
      <c r="B42" s="85" t="s">
        <v>8</v>
      </c>
      <c r="C42" s="77" t="s">
        <v>20</v>
      </c>
      <c r="D42" s="120">
        <v>1700</v>
      </c>
      <c r="E42" s="120">
        <v>1400</v>
      </c>
      <c r="F42" s="121">
        <f t="shared" si="13"/>
        <v>433.65700000000004</v>
      </c>
      <c r="G42" s="120">
        <v>229.78800000000001</v>
      </c>
      <c r="H42" s="120">
        <v>139.07599999999999</v>
      </c>
      <c r="I42" s="120">
        <v>28.978999999999999</v>
      </c>
      <c r="J42" s="120">
        <v>35.814</v>
      </c>
      <c r="K42" s="122">
        <v>432</v>
      </c>
      <c r="L42" s="123">
        <f t="shared" ref="L42:L57" si="37">F42-K42</f>
        <v>1.6570000000000391</v>
      </c>
      <c r="M42" s="124">
        <f>F42/K42*100</f>
        <v>100.38356481481483</v>
      </c>
      <c r="N42" s="123">
        <f t="shared" si="15"/>
        <v>566.66666666666663</v>
      </c>
      <c r="O42" s="123">
        <f t="shared" ref="O42:O57" si="38">F42-N42</f>
        <v>-133.00966666666659</v>
      </c>
      <c r="P42" s="124">
        <f t="shared" si="36"/>
        <v>76.527705882352947</v>
      </c>
      <c r="Q42" s="124">
        <f t="shared" si="14"/>
        <v>25.509235294117648</v>
      </c>
      <c r="R42" s="121">
        <v>588.61400000000003</v>
      </c>
      <c r="S42" s="123">
        <f t="shared" ref="S42:S57" si="39">F42-R42</f>
        <v>-154.95699999999999</v>
      </c>
      <c r="T42" s="124">
        <f>F42/R42*100</f>
        <v>73.674258512369732</v>
      </c>
      <c r="X42" s="80">
        <v>246438.04</v>
      </c>
    </row>
    <row r="43" spans="1:27" s="80" customFormat="1" ht="119.25" customHeight="1" x14ac:dyDescent="0.25">
      <c r="A43" s="76">
        <f t="shared" si="35"/>
        <v>21</v>
      </c>
      <c r="B43" s="85" t="s">
        <v>51</v>
      </c>
      <c r="C43" s="77" t="s">
        <v>45</v>
      </c>
      <c r="D43" s="120">
        <v>1000</v>
      </c>
      <c r="E43" s="120">
        <v>1000</v>
      </c>
      <c r="F43" s="121">
        <f t="shared" si="13"/>
        <v>261.923</v>
      </c>
      <c r="G43" s="120">
        <v>162.79300000000001</v>
      </c>
      <c r="H43" s="120">
        <v>1.9590000000000001</v>
      </c>
      <c r="I43" s="120">
        <v>97.171000000000006</v>
      </c>
      <c r="J43" s="120">
        <v>0</v>
      </c>
      <c r="K43" s="122">
        <v>261.7</v>
      </c>
      <c r="L43" s="123">
        <f t="shared" si="37"/>
        <v>0.22300000000001319</v>
      </c>
      <c r="M43" s="124">
        <f>F43/K43*100</f>
        <v>100.08521207489491</v>
      </c>
      <c r="N43" s="123">
        <f t="shared" si="15"/>
        <v>333.33333333333331</v>
      </c>
      <c r="O43" s="123">
        <f t="shared" si="38"/>
        <v>-71.410333333333313</v>
      </c>
      <c r="P43" s="124">
        <f t="shared" si="36"/>
        <v>78.576900000000009</v>
      </c>
      <c r="Q43" s="124">
        <f t="shared" si="14"/>
        <v>26.192300000000003</v>
      </c>
      <c r="R43" s="121">
        <v>363.25400000000002</v>
      </c>
      <c r="S43" s="123">
        <f t="shared" si="39"/>
        <v>-101.33100000000002</v>
      </c>
      <c r="T43" s="124">
        <f>F43/R43*100</f>
        <v>72.104643032148303</v>
      </c>
    </row>
    <row r="44" spans="1:27" s="80" customFormat="1" ht="58.5" x14ac:dyDescent="0.25">
      <c r="A44" s="76">
        <f t="shared" si="35"/>
        <v>22</v>
      </c>
      <c r="B44" s="85" t="s">
        <v>124</v>
      </c>
      <c r="C44" s="77" t="s">
        <v>123</v>
      </c>
      <c r="D44" s="120">
        <v>1</v>
      </c>
      <c r="E44" s="120">
        <v>15</v>
      </c>
      <c r="F44" s="121">
        <f t="shared" si="13"/>
        <v>0</v>
      </c>
      <c r="G44" s="120">
        <v>0</v>
      </c>
      <c r="H44" s="120">
        <v>0</v>
      </c>
      <c r="I44" s="120">
        <v>0</v>
      </c>
      <c r="J44" s="120">
        <v>0</v>
      </c>
      <c r="K44" s="122">
        <v>0</v>
      </c>
      <c r="L44" s="123">
        <f t="shared" si="37"/>
        <v>0</v>
      </c>
      <c r="M44" s="124"/>
      <c r="N44" s="123">
        <f t="shared" si="15"/>
        <v>0.33333333333333331</v>
      </c>
      <c r="O44" s="123">
        <f t="shared" si="38"/>
        <v>-0.33333333333333331</v>
      </c>
      <c r="P44" s="124">
        <f t="shared" si="36"/>
        <v>0</v>
      </c>
      <c r="Q44" s="124">
        <f t="shared" si="14"/>
        <v>0</v>
      </c>
      <c r="R44" s="121">
        <v>0</v>
      </c>
      <c r="S44" s="123">
        <f t="shared" si="39"/>
        <v>0</v>
      </c>
      <c r="T44" s="124"/>
      <c r="V44" s="78">
        <f>F46-F42</f>
        <v>1310793.5660000001</v>
      </c>
      <c r="W44" s="78">
        <f>R46-R42</f>
        <v>1129357.5969999998</v>
      </c>
      <c r="X44" s="79">
        <f>V44/W44</f>
        <v>1.160654136016761</v>
      </c>
    </row>
    <row r="45" spans="1:27" s="80" customFormat="1" ht="39" x14ac:dyDescent="0.25">
      <c r="A45" s="76">
        <f t="shared" si="35"/>
        <v>23</v>
      </c>
      <c r="B45" s="85" t="s">
        <v>82</v>
      </c>
      <c r="C45" s="77" t="s">
        <v>81</v>
      </c>
      <c r="D45" s="120">
        <v>1</v>
      </c>
      <c r="E45" s="120">
        <v>4.4000000000000004</v>
      </c>
      <c r="F45" s="121">
        <f t="shared" si="13"/>
        <v>0</v>
      </c>
      <c r="G45" s="120">
        <v>0</v>
      </c>
      <c r="H45" s="120">
        <v>0</v>
      </c>
      <c r="I45" s="120">
        <v>0</v>
      </c>
      <c r="J45" s="120">
        <v>0</v>
      </c>
      <c r="K45" s="122">
        <v>0</v>
      </c>
      <c r="L45" s="123">
        <f t="shared" si="37"/>
        <v>0</v>
      </c>
      <c r="M45" s="124"/>
      <c r="N45" s="123">
        <f t="shared" si="15"/>
        <v>0.33333333333333331</v>
      </c>
      <c r="O45" s="123">
        <f t="shared" si="38"/>
        <v>-0.33333333333333331</v>
      </c>
      <c r="P45" s="124">
        <f t="shared" si="36"/>
        <v>0</v>
      </c>
      <c r="Q45" s="124">
        <f t="shared" si="14"/>
        <v>0</v>
      </c>
      <c r="R45" s="121">
        <v>0</v>
      </c>
      <c r="S45" s="123">
        <f t="shared" si="39"/>
        <v>0</v>
      </c>
      <c r="T45" s="124"/>
    </row>
    <row r="46" spans="1:27" s="91" customFormat="1" ht="31.5" customHeight="1" x14ac:dyDescent="0.3">
      <c r="A46" s="86"/>
      <c r="B46" s="87" t="s">
        <v>155</v>
      </c>
      <c r="C46" s="88"/>
      <c r="D46" s="88">
        <f>D7+D8+D9+D14+D19+D25+D26+D27+D28+D29+D30+D31+D33+D38+D39+D40+D41+D42+D43+D45+D44+D32</f>
        <v>4389459.9849999994</v>
      </c>
      <c r="E46" s="88">
        <f>E7+E8+E9+E14+E19+E25+E26+E27+E28+E29+E30+E31+E33+E38+E39+E40+E41+E42+E43+E45+E44</f>
        <v>3751621.3889999995</v>
      </c>
      <c r="F46" s="88">
        <f>SUM(G46:J46)</f>
        <v>1311227.223</v>
      </c>
      <c r="G46" s="88">
        <f>G7+G8+G9+G14+G19+G25+G26+G27+G28+G29+G30+G31+G33+G38+G39+G40+G41+G42+G43+G45+G44+G32</f>
        <v>303539.72700000007</v>
      </c>
      <c r="H46" s="88">
        <f>H7+H8+H9+H14+H19+H25+H26+H27+H28+H29+H30+H31+H33+H38+H39+H40+H41+H42+H43+H45+H44+H32+H18</f>
        <v>382603.97200000001</v>
      </c>
      <c r="I46" s="88">
        <f>I7+I8+I9+I14+I19+I25+I26+I27+I28+I29+I30+I31+I33+I38+I39+I40+I41+I42+I43+I45+I44+I32+I18</f>
        <v>298934.25099999999</v>
      </c>
      <c r="J46" s="88">
        <f>J7+J8+J9+J14+J19+J25+J26+J27+J28+J29+J30+J31+J33+J38+J39+J40+J41+J42+J43+J45+J44+J32+J18</f>
        <v>326149.27299999999</v>
      </c>
      <c r="K46" s="88">
        <f>K7+K8+K9+K14+K19+K25+K26+K27+K28+K29+K30+K31+K33+K38+K39+K40+K41+K42+K43+K45+K44+K32</f>
        <v>1282452.219</v>
      </c>
      <c r="L46" s="89">
        <f t="shared" si="37"/>
        <v>28775.003999999957</v>
      </c>
      <c r="M46" s="90">
        <f>F46/K46*100</f>
        <v>102.24374862265336</v>
      </c>
      <c r="N46" s="88">
        <f>N7+N8+N9+N14+N19+N25+N26+N27+N28+N29+N30+N31+N33+N38+N39+N40+N41+N42+N43+N45+N44+N32</f>
        <v>1463153.3283333336</v>
      </c>
      <c r="O46" s="89">
        <f t="shared" si="38"/>
        <v>-151926.1053333336</v>
      </c>
      <c r="P46" s="90">
        <f t="shared" si="36"/>
        <v>89.616528740265963</v>
      </c>
      <c r="Q46" s="90">
        <f t="shared" si="14"/>
        <v>29.872176246755334</v>
      </c>
      <c r="R46" s="88">
        <f>R7+R8+R9+R14+R19+R25+R26+R27+R28+R29+R30+R31+R33+R38+R39+R40+R41+R42+R43+R45+R44+R32</f>
        <v>1129946.2109999999</v>
      </c>
      <c r="S46" s="89">
        <f t="shared" si="39"/>
        <v>181281.0120000001</v>
      </c>
      <c r="T46" s="90">
        <f>F46/R46*100</f>
        <v>116.04333111038683</v>
      </c>
      <c r="U46" s="92">
        <v>1129946.2109999999</v>
      </c>
      <c r="V46" s="92">
        <f>U46-R46</f>
        <v>0</v>
      </c>
      <c r="Y46" s="92" t="e">
        <f>#REF!-#REF!-#REF!</f>
        <v>#REF!</v>
      </c>
      <c r="AA46" s="91">
        <v>294547.38299999997</v>
      </c>
    </row>
    <row r="47" spans="1:27" s="10" customFormat="1" ht="23.25" x14ac:dyDescent="0.25">
      <c r="A47" s="24">
        <v>1</v>
      </c>
      <c r="B47" s="60" t="s">
        <v>125</v>
      </c>
      <c r="C47" s="25" t="s">
        <v>53</v>
      </c>
      <c r="D47" s="130">
        <v>855684.1</v>
      </c>
      <c r="E47" s="130">
        <v>717803.4</v>
      </c>
      <c r="F47" s="121">
        <f t="shared" si="13"/>
        <v>263550.8</v>
      </c>
      <c r="G47" s="120">
        <v>65887.7</v>
      </c>
      <c r="H47" s="120">
        <v>65887.7</v>
      </c>
      <c r="I47" s="120">
        <v>65887.7</v>
      </c>
      <c r="J47" s="120">
        <v>65887.7</v>
      </c>
      <c r="K47" s="120">
        <v>263550.8</v>
      </c>
      <c r="L47" s="123">
        <f t="shared" si="37"/>
        <v>0</v>
      </c>
      <c r="M47" s="124">
        <f>F47/K47*100</f>
        <v>100</v>
      </c>
      <c r="N47" s="120">
        <f>D47</f>
        <v>855684.1</v>
      </c>
      <c r="O47" s="123">
        <f t="shared" si="38"/>
        <v>-592133.30000000005</v>
      </c>
      <c r="P47" s="124">
        <f t="shared" si="36"/>
        <v>30.80001135933226</v>
      </c>
      <c r="Q47" s="124">
        <f t="shared" si="14"/>
        <v>30.80001135933226</v>
      </c>
      <c r="R47" s="121">
        <v>206801.30000000002</v>
      </c>
      <c r="S47" s="123">
        <f t="shared" si="39"/>
        <v>56749.499999999971</v>
      </c>
      <c r="T47" s="124">
        <f>F47/R47*100</f>
        <v>127.44155863623681</v>
      </c>
      <c r="U47" s="44"/>
      <c r="V47" s="44"/>
      <c r="W47" s="44"/>
      <c r="X47" s="46"/>
    </row>
    <row r="48" spans="1:27" s="10" customFormat="1" ht="58.5" x14ac:dyDescent="0.25">
      <c r="A48" s="24">
        <f>A47+1</f>
        <v>2</v>
      </c>
      <c r="B48" s="150" t="s">
        <v>126</v>
      </c>
      <c r="C48" s="153" t="s">
        <v>110</v>
      </c>
      <c r="D48" s="130">
        <v>29000</v>
      </c>
      <c r="E48" s="130">
        <v>0</v>
      </c>
      <c r="F48" s="121">
        <f t="shared" si="13"/>
        <v>9666.7999999999993</v>
      </c>
      <c r="G48" s="120">
        <v>2416.6999999999998</v>
      </c>
      <c r="H48" s="120">
        <v>2416.6999999999998</v>
      </c>
      <c r="I48" s="120">
        <v>2416.6999999999998</v>
      </c>
      <c r="J48" s="120">
        <v>2416.6999999999998</v>
      </c>
      <c r="K48" s="120">
        <v>9666.7999999999993</v>
      </c>
      <c r="L48" s="123">
        <f t="shared" si="37"/>
        <v>0</v>
      </c>
      <c r="M48" s="124">
        <f>F48/K48*100</f>
        <v>100</v>
      </c>
      <c r="N48" s="120">
        <f t="shared" ref="N48:N51" si="40">D48</f>
        <v>29000</v>
      </c>
      <c r="O48" s="123">
        <f t="shared" si="38"/>
        <v>-19333.2</v>
      </c>
      <c r="P48" s="124">
        <f t="shared" ref="P48" si="41">F48/N48*100</f>
        <v>33.333793103448272</v>
      </c>
      <c r="Q48" s="124">
        <f t="shared" ref="Q48" si="42">F48/D48*100</f>
        <v>33.333793103448272</v>
      </c>
      <c r="R48" s="121">
        <v>0</v>
      </c>
      <c r="S48" s="123">
        <f t="shared" si="39"/>
        <v>9666.7999999999993</v>
      </c>
      <c r="T48" s="124"/>
      <c r="U48" s="44"/>
      <c r="V48" s="44"/>
      <c r="W48" s="44"/>
      <c r="X48" s="46"/>
    </row>
    <row r="49" spans="1:22" s="10" customFormat="1" ht="54" customHeight="1" x14ac:dyDescent="0.25">
      <c r="A49" s="24">
        <f t="shared" ref="A49:A51" si="43">A48+1</f>
        <v>3</v>
      </c>
      <c r="B49" s="150" t="s">
        <v>129</v>
      </c>
      <c r="C49" s="153" t="s">
        <v>119</v>
      </c>
      <c r="D49" s="130">
        <v>16764.740000000002</v>
      </c>
      <c r="E49" s="130">
        <v>11474.77</v>
      </c>
      <c r="F49" s="121">
        <f t="shared" si="13"/>
        <v>5163.5450000000001</v>
      </c>
      <c r="G49" s="120">
        <v>1290.8869999999999</v>
      </c>
      <c r="H49" s="120">
        <v>1290.886</v>
      </c>
      <c r="I49" s="120">
        <v>1290.886</v>
      </c>
      <c r="J49" s="120">
        <v>1290.886</v>
      </c>
      <c r="K49" s="122">
        <v>5163.5450000000001</v>
      </c>
      <c r="L49" s="123">
        <f t="shared" si="37"/>
        <v>0</v>
      </c>
      <c r="M49" s="124">
        <f>F49/K49*100</f>
        <v>100</v>
      </c>
      <c r="N49" s="120">
        <f t="shared" si="40"/>
        <v>16764.740000000002</v>
      </c>
      <c r="O49" s="123">
        <f t="shared" si="38"/>
        <v>-11601.195000000002</v>
      </c>
      <c r="P49" s="124">
        <f>F49/N49*100</f>
        <v>30.800030301692715</v>
      </c>
      <c r="Q49" s="124">
        <f t="shared" si="14"/>
        <v>30.800030301692715</v>
      </c>
      <c r="R49" s="121">
        <v>3305.9180000000001</v>
      </c>
      <c r="S49" s="123">
        <f t="shared" si="39"/>
        <v>1857.627</v>
      </c>
      <c r="T49" s="124">
        <f>F49/R49*100</f>
        <v>156.19095815443697</v>
      </c>
    </row>
    <row r="50" spans="1:22" s="10" customFormat="1" ht="58.5" x14ac:dyDescent="0.25">
      <c r="A50" s="24">
        <f t="shared" si="43"/>
        <v>4</v>
      </c>
      <c r="B50" s="150" t="s">
        <v>130</v>
      </c>
      <c r="C50" s="153">
        <v>41051200</v>
      </c>
      <c r="D50" s="130">
        <v>3718.5</v>
      </c>
      <c r="E50" s="130">
        <v>4100.6319999999996</v>
      </c>
      <c r="F50" s="121">
        <f t="shared" si="13"/>
        <v>774.04</v>
      </c>
      <c r="G50" s="120">
        <v>82.944999999999993</v>
      </c>
      <c r="H50" s="120">
        <v>230.36500000000001</v>
      </c>
      <c r="I50" s="120">
        <v>230.36500000000001</v>
      </c>
      <c r="J50" s="120">
        <v>230.36500000000001</v>
      </c>
      <c r="K50" s="122">
        <v>931.84</v>
      </c>
      <c r="L50" s="123">
        <f t="shared" si="37"/>
        <v>-157.80000000000007</v>
      </c>
      <c r="M50" s="124">
        <f>F50/K50*100</f>
        <v>83.065762362637358</v>
      </c>
      <c r="N50" s="120">
        <f t="shared" si="40"/>
        <v>3718.5</v>
      </c>
      <c r="O50" s="123">
        <f t="shared" si="38"/>
        <v>-2944.46</v>
      </c>
      <c r="P50" s="124">
        <f>F50/N50*100</f>
        <v>20.815920398009951</v>
      </c>
      <c r="Q50" s="124">
        <f t="shared" si="14"/>
        <v>20.815920398009951</v>
      </c>
      <c r="R50" s="121">
        <v>906.78600000000006</v>
      </c>
      <c r="S50" s="123">
        <f t="shared" si="39"/>
        <v>-132.74600000000009</v>
      </c>
      <c r="T50" s="124">
        <f>F50/R50*100</f>
        <v>85.360823832745538</v>
      </c>
    </row>
    <row r="51" spans="1:22" s="10" customFormat="1" ht="58.5" x14ac:dyDescent="0.25">
      <c r="A51" s="24">
        <f t="shared" si="43"/>
        <v>5</v>
      </c>
      <c r="B51" s="154" t="s">
        <v>142</v>
      </c>
      <c r="C51" s="153" t="s">
        <v>128</v>
      </c>
      <c r="D51" s="130">
        <v>0</v>
      </c>
      <c r="E51" s="130">
        <v>7100</v>
      </c>
      <c r="F51" s="121">
        <f t="shared" si="13"/>
        <v>0</v>
      </c>
      <c r="G51" s="120">
        <v>0</v>
      </c>
      <c r="H51" s="120">
        <v>0</v>
      </c>
      <c r="I51" s="120">
        <v>0</v>
      </c>
      <c r="J51" s="120">
        <v>0</v>
      </c>
      <c r="K51" s="122">
        <v>0</v>
      </c>
      <c r="L51" s="123">
        <f t="shared" si="37"/>
        <v>0</v>
      </c>
      <c r="M51" s="124"/>
      <c r="N51" s="120">
        <f t="shared" si="40"/>
        <v>0</v>
      </c>
      <c r="O51" s="123">
        <f t="shared" si="38"/>
        <v>0</v>
      </c>
      <c r="P51" s="124"/>
      <c r="Q51" s="124"/>
      <c r="R51" s="121">
        <v>4733.3320000000003</v>
      </c>
      <c r="S51" s="123">
        <f t="shared" si="39"/>
        <v>-4733.3320000000003</v>
      </c>
      <c r="T51" s="124"/>
      <c r="U51" s="121"/>
      <c r="V51" s="121"/>
    </row>
    <row r="52" spans="1:22" s="10" customFormat="1" ht="28.5" customHeight="1" x14ac:dyDescent="0.25">
      <c r="A52" s="24">
        <v>6</v>
      </c>
      <c r="B52" s="154" t="s">
        <v>127</v>
      </c>
      <c r="C52" s="153" t="s">
        <v>111</v>
      </c>
      <c r="D52" s="130">
        <f>SUM(D53:D56)</f>
        <v>4144</v>
      </c>
      <c r="E52" s="130">
        <f>SUM(E53:E56)</f>
        <v>3644</v>
      </c>
      <c r="F52" s="179">
        <f t="shared" si="13"/>
        <v>907.62700000000007</v>
      </c>
      <c r="G52" s="120">
        <f>SUM(G53:G56)</f>
        <v>0</v>
      </c>
      <c r="H52" s="120">
        <f>SUM(H53:H56)</f>
        <v>69.319000000000003</v>
      </c>
      <c r="I52" s="120">
        <f>SUM(I53:I56)</f>
        <v>2.609</v>
      </c>
      <c r="J52" s="120">
        <f>SUM(J53:J56)</f>
        <v>835.69900000000007</v>
      </c>
      <c r="K52" s="120">
        <f>SUM(K53:K56)</f>
        <v>1130.873</v>
      </c>
      <c r="L52" s="123">
        <f t="shared" si="37"/>
        <v>-223.24599999999998</v>
      </c>
      <c r="M52" s="124">
        <f t="shared" ref="M52:M56" si="44">F52/K52*100</f>
        <v>80.258968071569498</v>
      </c>
      <c r="N52" s="120">
        <f t="shared" ref="N52" si="45">K52</f>
        <v>1130.873</v>
      </c>
      <c r="O52" s="123">
        <f t="shared" si="38"/>
        <v>-223.24599999999998</v>
      </c>
      <c r="P52" s="124">
        <f t="shared" ref="P52:P56" si="46">F52/N52*100</f>
        <v>80.258968071569498</v>
      </c>
      <c r="Q52" s="124">
        <f t="shared" si="14"/>
        <v>21.902195945945948</v>
      </c>
      <c r="R52" s="121">
        <f>SUM(R53:R57)</f>
        <v>754.346</v>
      </c>
      <c r="S52" s="123">
        <f t="shared" si="39"/>
        <v>153.28100000000006</v>
      </c>
      <c r="T52" s="124">
        <f>F52/R52*100</f>
        <v>120.31972065868979</v>
      </c>
      <c r="U52" s="121">
        <v>5098.8379999999997</v>
      </c>
      <c r="V52" s="121">
        <f>U52-R52</f>
        <v>4344.4920000000002</v>
      </c>
    </row>
    <row r="53" spans="1:22" s="43" customFormat="1" ht="40.5" x14ac:dyDescent="0.25">
      <c r="A53" s="42" t="s">
        <v>132</v>
      </c>
      <c r="B53" s="151" t="s">
        <v>143</v>
      </c>
      <c r="C53" s="107"/>
      <c r="D53" s="131">
        <v>105</v>
      </c>
      <c r="E53" s="131">
        <v>105</v>
      </c>
      <c r="F53" s="126">
        <f t="shared" si="13"/>
        <v>24.346</v>
      </c>
      <c r="G53" s="125">
        <v>0</v>
      </c>
      <c r="H53" s="125">
        <v>10.734999999999999</v>
      </c>
      <c r="I53" s="125">
        <v>2.609</v>
      </c>
      <c r="J53" s="125">
        <f>11.002</f>
        <v>11.002000000000001</v>
      </c>
      <c r="K53" s="127">
        <v>35.008000000000003</v>
      </c>
      <c r="L53" s="128">
        <f t="shared" si="37"/>
        <v>-10.662000000000003</v>
      </c>
      <c r="M53" s="129">
        <f t="shared" si="44"/>
        <v>69.544104204753197</v>
      </c>
      <c r="N53" s="125">
        <f t="shared" ref="N53:N56" si="47">D53</f>
        <v>105</v>
      </c>
      <c r="O53" s="128">
        <f t="shared" si="38"/>
        <v>-80.653999999999996</v>
      </c>
      <c r="P53" s="129">
        <f t="shared" si="46"/>
        <v>23.186666666666667</v>
      </c>
      <c r="Q53" s="129">
        <f t="shared" si="14"/>
        <v>23.186666666666667</v>
      </c>
      <c r="R53" s="126">
        <v>31.759999999999998</v>
      </c>
      <c r="S53" s="128">
        <f t="shared" si="39"/>
        <v>-7.4139999999999979</v>
      </c>
      <c r="T53" s="129">
        <f t="shared" ref="T53:T54" si="48">F53/R53*100</f>
        <v>76.656171284634766</v>
      </c>
    </row>
    <row r="54" spans="1:22" s="43" customFormat="1" ht="40.5" x14ac:dyDescent="0.25">
      <c r="A54" s="42" t="s">
        <v>133</v>
      </c>
      <c r="B54" s="151" t="s">
        <v>144</v>
      </c>
      <c r="C54" s="107"/>
      <c r="D54" s="131">
        <v>1246.7</v>
      </c>
      <c r="E54" s="131">
        <v>1246.7</v>
      </c>
      <c r="F54" s="126">
        <f t="shared" si="13"/>
        <v>241.82400000000001</v>
      </c>
      <c r="G54" s="125">
        <v>0</v>
      </c>
      <c r="H54" s="125">
        <v>58.584000000000003</v>
      </c>
      <c r="I54" s="125">
        <v>0</v>
      </c>
      <c r="J54" s="125">
        <f>65.714+117.526</f>
        <v>183.24</v>
      </c>
      <c r="K54" s="127">
        <v>242.029</v>
      </c>
      <c r="L54" s="128">
        <f t="shared" si="37"/>
        <v>-0.20499999999998408</v>
      </c>
      <c r="M54" s="129">
        <f t="shared" si="44"/>
        <v>99.915299406269497</v>
      </c>
      <c r="N54" s="125">
        <f t="shared" si="47"/>
        <v>1246.7</v>
      </c>
      <c r="O54" s="128">
        <f t="shared" si="38"/>
        <v>-1004.876</v>
      </c>
      <c r="P54" s="129">
        <f t="shared" si="46"/>
        <v>19.397128419026231</v>
      </c>
      <c r="Q54" s="129">
        <f t="shared" si="14"/>
        <v>19.397128419026231</v>
      </c>
      <c r="R54" s="126">
        <v>242.029</v>
      </c>
      <c r="S54" s="128">
        <f t="shared" si="39"/>
        <v>-0.20499999999998408</v>
      </c>
      <c r="T54" s="129">
        <f t="shared" si="48"/>
        <v>99.915299406269497</v>
      </c>
    </row>
    <row r="55" spans="1:22" s="43" customFormat="1" ht="60" x14ac:dyDescent="0.25">
      <c r="A55" s="42" t="s">
        <v>134</v>
      </c>
      <c r="B55" s="151" t="s">
        <v>145</v>
      </c>
      <c r="C55" s="107"/>
      <c r="D55" s="131">
        <v>292.3</v>
      </c>
      <c r="E55" s="131">
        <v>292.3</v>
      </c>
      <c r="F55" s="126">
        <f t="shared" si="13"/>
        <v>146.136</v>
      </c>
      <c r="G55" s="125">
        <v>0</v>
      </c>
      <c r="H55" s="125">
        <v>0</v>
      </c>
      <c r="I55" s="125">
        <v>0</v>
      </c>
      <c r="J55" s="125">
        <v>146.136</v>
      </c>
      <c r="K55" s="127">
        <v>146.136</v>
      </c>
      <c r="L55" s="128">
        <f t="shared" si="37"/>
        <v>0</v>
      </c>
      <c r="M55" s="129">
        <f t="shared" si="44"/>
        <v>100</v>
      </c>
      <c r="N55" s="125">
        <f t="shared" si="47"/>
        <v>292.3</v>
      </c>
      <c r="O55" s="128">
        <f t="shared" si="38"/>
        <v>-146.16400000000002</v>
      </c>
      <c r="P55" s="129">
        <f t="shared" si="46"/>
        <v>49.995210400273685</v>
      </c>
      <c r="Q55" s="129">
        <f t="shared" si="14"/>
        <v>49.995210400273685</v>
      </c>
      <c r="R55" s="126">
        <v>146.137</v>
      </c>
      <c r="S55" s="128">
        <f t="shared" si="39"/>
        <v>-1.0000000000047748E-3</v>
      </c>
      <c r="T55" s="129"/>
    </row>
    <row r="56" spans="1:22" s="43" customFormat="1" ht="60" x14ac:dyDescent="0.25">
      <c r="A56" s="42" t="s">
        <v>135</v>
      </c>
      <c r="B56" s="151" t="s">
        <v>146</v>
      </c>
      <c r="C56" s="107"/>
      <c r="D56" s="131">
        <v>2500</v>
      </c>
      <c r="E56" s="131">
        <v>2000</v>
      </c>
      <c r="F56" s="126">
        <f t="shared" si="13"/>
        <v>495.32100000000003</v>
      </c>
      <c r="G56" s="125">
        <v>0</v>
      </c>
      <c r="H56" s="125">
        <v>0</v>
      </c>
      <c r="I56" s="125">
        <v>0</v>
      </c>
      <c r="J56" s="125">
        <v>495.32100000000003</v>
      </c>
      <c r="K56" s="127">
        <v>707.7</v>
      </c>
      <c r="L56" s="128">
        <f t="shared" si="37"/>
        <v>-212.37900000000002</v>
      </c>
      <c r="M56" s="129">
        <f t="shared" si="44"/>
        <v>69.990250105977097</v>
      </c>
      <c r="N56" s="125">
        <f t="shared" si="47"/>
        <v>2500</v>
      </c>
      <c r="O56" s="128">
        <f t="shared" si="38"/>
        <v>-2004.6790000000001</v>
      </c>
      <c r="P56" s="129">
        <f t="shared" si="46"/>
        <v>19.812840000000001</v>
      </c>
      <c r="Q56" s="129">
        <f t="shared" si="14"/>
        <v>19.812840000000001</v>
      </c>
      <c r="R56" s="126">
        <v>0</v>
      </c>
      <c r="S56" s="128">
        <f t="shared" si="39"/>
        <v>495.32100000000003</v>
      </c>
      <c r="T56" s="129"/>
    </row>
    <row r="57" spans="1:22" s="43" customFormat="1" ht="58.5" x14ac:dyDescent="0.25">
      <c r="A57" s="42" t="s">
        <v>167</v>
      </c>
      <c r="B57" s="151" t="s">
        <v>173</v>
      </c>
      <c r="C57" s="107"/>
      <c r="D57" s="131"/>
      <c r="E57" s="131"/>
      <c r="F57" s="126">
        <f t="shared" si="13"/>
        <v>0</v>
      </c>
      <c r="G57" s="125">
        <v>0</v>
      </c>
      <c r="H57" s="125">
        <v>0</v>
      </c>
      <c r="I57" s="125">
        <v>0</v>
      </c>
      <c r="J57" s="125">
        <v>0</v>
      </c>
      <c r="K57" s="127">
        <v>0</v>
      </c>
      <c r="L57" s="128">
        <f t="shared" si="37"/>
        <v>0</v>
      </c>
      <c r="M57" s="129"/>
      <c r="N57" s="125"/>
      <c r="O57" s="128">
        <f t="shared" si="38"/>
        <v>0</v>
      </c>
      <c r="P57" s="129"/>
      <c r="Q57" s="129"/>
      <c r="R57" s="126">
        <v>334.42</v>
      </c>
      <c r="S57" s="128">
        <f t="shared" si="39"/>
        <v>-334.42</v>
      </c>
      <c r="T57" s="129"/>
    </row>
    <row r="58" spans="1:22" s="50" customFormat="1" ht="32.25" customHeight="1" x14ac:dyDescent="0.3">
      <c r="A58" s="47"/>
      <c r="B58" s="51" t="s">
        <v>174</v>
      </c>
      <c r="C58" s="48"/>
      <c r="D58" s="49">
        <f>D61+D60</f>
        <v>909311.34</v>
      </c>
      <c r="E58" s="49" t="e">
        <f>E61+E60</f>
        <v>#REF!</v>
      </c>
      <c r="F58" s="49">
        <f t="shared" si="13"/>
        <v>280062.81199999998</v>
      </c>
      <c r="G58" s="49">
        <f>G61+G60</f>
        <v>69678.231999999989</v>
      </c>
      <c r="H58" s="49">
        <f>H61+H60</f>
        <v>69894.97</v>
      </c>
      <c r="I58" s="49">
        <f>I61+I60</f>
        <v>69828.259999999995</v>
      </c>
      <c r="J58" s="49">
        <f>J61+J60</f>
        <v>70661.349999999991</v>
      </c>
      <c r="K58" s="49">
        <f>K61+K60</f>
        <v>280443.85799999995</v>
      </c>
      <c r="L58" s="89">
        <f>F58-K58</f>
        <v>-381.04599999997299</v>
      </c>
      <c r="M58" s="90">
        <f>F58/K58*100</f>
        <v>99.864127528868906</v>
      </c>
      <c r="N58" s="49">
        <f>N61+N60</f>
        <v>906298.21299999999</v>
      </c>
      <c r="O58" s="89">
        <f>F58-N58</f>
        <v>-626235.40100000007</v>
      </c>
      <c r="P58" s="90">
        <f>F58/N58*100</f>
        <v>30.901838708579689</v>
      </c>
      <c r="Q58" s="90">
        <f t="shared" si="14"/>
        <v>30.799441256280822</v>
      </c>
      <c r="R58" s="49">
        <f>R61+R60</f>
        <v>216501.68200000003</v>
      </c>
      <c r="S58" s="89">
        <f>F58-R58</f>
        <v>63561.129999999946</v>
      </c>
      <c r="T58" s="90">
        <f>F58/R58*100</f>
        <v>129.35826152149707</v>
      </c>
    </row>
    <row r="59" spans="1:22" s="13" customFormat="1" ht="23.25" hidden="1" x14ac:dyDescent="0.25">
      <c r="A59" s="12"/>
      <c r="B59" s="176" t="s">
        <v>97</v>
      </c>
      <c r="C59" s="11"/>
      <c r="D59" s="132"/>
      <c r="E59" s="132"/>
      <c r="F59" s="133"/>
      <c r="G59" s="132"/>
      <c r="H59" s="132"/>
      <c r="I59" s="132"/>
      <c r="J59" s="132"/>
      <c r="K59" s="132"/>
      <c r="L59" s="123"/>
      <c r="M59" s="124"/>
      <c r="N59" s="132"/>
      <c r="O59" s="93"/>
      <c r="P59" s="94"/>
      <c r="Q59" s="94"/>
      <c r="R59" s="133"/>
      <c r="S59" s="93"/>
      <c r="T59" s="94"/>
    </row>
    <row r="60" spans="1:22" s="13" customFormat="1" ht="39" hidden="1" customHeight="1" x14ac:dyDescent="0.25">
      <c r="A60" s="12"/>
      <c r="B60" s="169" t="s">
        <v>112</v>
      </c>
      <c r="C60" s="26"/>
      <c r="D60" s="56">
        <f>D48</f>
        <v>29000</v>
      </c>
      <c r="E60" s="56">
        <f>E48</f>
        <v>0</v>
      </c>
      <c r="F60" s="49">
        <f t="shared" si="13"/>
        <v>9666.7999999999993</v>
      </c>
      <c r="G60" s="56">
        <f>G48</f>
        <v>2416.6999999999998</v>
      </c>
      <c r="H60" s="56">
        <f>H48</f>
        <v>2416.6999999999998</v>
      </c>
      <c r="I60" s="56">
        <f>I48</f>
        <v>2416.6999999999998</v>
      </c>
      <c r="J60" s="56">
        <f>J48</f>
        <v>2416.6999999999998</v>
      </c>
      <c r="K60" s="56">
        <f>K48</f>
        <v>9666.7999999999993</v>
      </c>
      <c r="L60" s="93">
        <f>F60-K60</f>
        <v>0</v>
      </c>
      <c r="M60" s="94">
        <f>F60/K60*100</f>
        <v>100</v>
      </c>
      <c r="N60" s="56">
        <f>N48</f>
        <v>29000</v>
      </c>
      <c r="O60" s="93">
        <f>F60-N60</f>
        <v>-19333.2</v>
      </c>
      <c r="P60" s="94">
        <f>F60/N60*100</f>
        <v>33.333793103448272</v>
      </c>
      <c r="Q60" s="94">
        <f t="shared" si="14"/>
        <v>33.333793103448272</v>
      </c>
      <c r="R60" s="49">
        <f>R48</f>
        <v>0</v>
      </c>
      <c r="S60" s="93">
        <f>F60-R60</f>
        <v>9666.7999999999993</v>
      </c>
      <c r="T60" s="94"/>
    </row>
    <row r="61" spans="1:22" s="13" customFormat="1" ht="39" hidden="1" customHeight="1" x14ac:dyDescent="0.25">
      <c r="A61" s="12"/>
      <c r="B61" s="169" t="s">
        <v>70</v>
      </c>
      <c r="C61" s="26"/>
      <c r="D61" s="56">
        <f>D62+D63</f>
        <v>880311.34</v>
      </c>
      <c r="E61" s="56" t="e">
        <f>E62+E63</f>
        <v>#REF!</v>
      </c>
      <c r="F61" s="49">
        <f t="shared" si="13"/>
        <v>270396.01199999999</v>
      </c>
      <c r="G61" s="56">
        <f>G62+G63</f>
        <v>67261.531999999992</v>
      </c>
      <c r="H61" s="56">
        <f>H62+H63</f>
        <v>67478.27</v>
      </c>
      <c r="I61" s="56">
        <f>I62+I63</f>
        <v>67411.56</v>
      </c>
      <c r="J61" s="56">
        <f>J62+J63</f>
        <v>68244.649999999994</v>
      </c>
      <c r="K61" s="56">
        <f>K62+K63</f>
        <v>270777.05799999996</v>
      </c>
      <c r="L61" s="93">
        <f>F61-K61</f>
        <v>-381.04599999997299</v>
      </c>
      <c r="M61" s="94">
        <f>F61/K61*100</f>
        <v>99.859276852029339</v>
      </c>
      <c r="N61" s="56">
        <f>N62+N63</f>
        <v>877298.21299999999</v>
      </c>
      <c r="O61" s="93">
        <f>F61-N61</f>
        <v>-606902.201</v>
      </c>
      <c r="P61" s="94">
        <f>F61/N61*100</f>
        <v>30.821447940188612</v>
      </c>
      <c r="Q61" s="94">
        <f t="shared" si="14"/>
        <v>30.715952381120072</v>
      </c>
      <c r="R61" s="49">
        <f>R62+R63</f>
        <v>216501.68200000003</v>
      </c>
      <c r="S61" s="93">
        <f>F61-R61</f>
        <v>53894.329999999958</v>
      </c>
      <c r="T61" s="94">
        <f>F61/R61*100</f>
        <v>124.89326156828655</v>
      </c>
    </row>
    <row r="62" spans="1:22" s="8" customFormat="1" ht="39" hidden="1" customHeight="1" x14ac:dyDescent="0.25">
      <c r="A62" s="14"/>
      <c r="B62" s="17" t="s">
        <v>101</v>
      </c>
      <c r="C62" s="17"/>
      <c r="D62" s="131">
        <f>D47</f>
        <v>855684.1</v>
      </c>
      <c r="E62" s="131" t="e">
        <f>E47+#REF!</f>
        <v>#REF!</v>
      </c>
      <c r="F62" s="134">
        <f t="shared" si="13"/>
        <v>263550.8</v>
      </c>
      <c r="G62" s="131">
        <f>G47</f>
        <v>65887.7</v>
      </c>
      <c r="H62" s="131">
        <f>H47</f>
        <v>65887.7</v>
      </c>
      <c r="I62" s="131">
        <f>I47</f>
        <v>65887.7</v>
      </c>
      <c r="J62" s="131">
        <f>J47</f>
        <v>65887.7</v>
      </c>
      <c r="K62" s="131">
        <f>K47</f>
        <v>263550.8</v>
      </c>
      <c r="L62" s="128">
        <f>F62-K62</f>
        <v>0</v>
      </c>
      <c r="M62" s="129">
        <f>F62/K62*100</f>
        <v>100</v>
      </c>
      <c r="N62" s="131">
        <f>N47</f>
        <v>855684.1</v>
      </c>
      <c r="O62" s="128">
        <f>F62-N62</f>
        <v>-592133.30000000005</v>
      </c>
      <c r="P62" s="129">
        <f>F62/N62*100</f>
        <v>30.80001135933226</v>
      </c>
      <c r="Q62" s="129">
        <f t="shared" si="14"/>
        <v>30.80001135933226</v>
      </c>
      <c r="R62" s="134">
        <f>R47</f>
        <v>206801.30000000002</v>
      </c>
      <c r="S62" s="128">
        <f>F62-R62</f>
        <v>56749.499999999971</v>
      </c>
      <c r="T62" s="129">
        <f>F62/R62*100</f>
        <v>127.44155863623681</v>
      </c>
    </row>
    <row r="63" spans="1:22" s="8" customFormat="1" ht="39" hidden="1" customHeight="1" x14ac:dyDescent="0.25">
      <c r="A63" s="14"/>
      <c r="B63" s="177" t="s">
        <v>100</v>
      </c>
      <c r="C63" s="17"/>
      <c r="D63" s="131">
        <f>D49+D52+D50+D51</f>
        <v>24627.24</v>
      </c>
      <c r="E63" s="131">
        <f>E49+E52+E50+E51</f>
        <v>26319.402000000002</v>
      </c>
      <c r="F63" s="134">
        <f t="shared" si="13"/>
        <v>6845.2119999999995</v>
      </c>
      <c r="G63" s="131">
        <f>G49+G52+G50+G51</f>
        <v>1373.8319999999999</v>
      </c>
      <c r="H63" s="131">
        <f>H49+H52+H50+H51</f>
        <v>1590.57</v>
      </c>
      <c r="I63" s="131">
        <f>I49+I52+I50+I51</f>
        <v>1523.86</v>
      </c>
      <c r="J63" s="131">
        <f>J49+J52+J50+J51</f>
        <v>2356.9499999999998</v>
      </c>
      <c r="K63" s="131">
        <f>K49+K52+K50+K51</f>
        <v>7226.2579999999998</v>
      </c>
      <c r="L63" s="128">
        <f>F63-K63</f>
        <v>-381.04600000000028</v>
      </c>
      <c r="M63" s="129">
        <f>F63/K63*100</f>
        <v>94.726925055817262</v>
      </c>
      <c r="N63" s="131">
        <f>N49+N52+N50+N51</f>
        <v>21614.113000000001</v>
      </c>
      <c r="O63" s="128">
        <f>F63-N63</f>
        <v>-14768.901000000002</v>
      </c>
      <c r="P63" s="129">
        <f>F63/N63*100</f>
        <v>31.67010369567328</v>
      </c>
      <c r="Q63" s="129">
        <f t="shared" si="14"/>
        <v>27.795286844973287</v>
      </c>
      <c r="R63" s="134">
        <f>R49+R52+R50+R51</f>
        <v>9700.3820000000014</v>
      </c>
      <c r="S63" s="128">
        <f>F63-R63</f>
        <v>-2855.1700000000019</v>
      </c>
      <c r="T63" s="129">
        <f>F63/R63*100</f>
        <v>70.566416868943904</v>
      </c>
    </row>
    <row r="64" spans="1:22" s="8" customFormat="1" ht="12" customHeight="1" x14ac:dyDescent="0.25">
      <c r="A64" s="14"/>
      <c r="B64" s="45"/>
      <c r="C64" s="17"/>
      <c r="D64" s="131"/>
      <c r="E64" s="131"/>
      <c r="F64" s="134"/>
      <c r="G64" s="131"/>
      <c r="H64" s="131"/>
      <c r="I64" s="131"/>
      <c r="J64" s="131"/>
      <c r="K64" s="131"/>
      <c r="L64" s="128"/>
      <c r="M64" s="129"/>
      <c r="N64" s="131"/>
      <c r="O64" s="128"/>
      <c r="P64" s="129"/>
      <c r="Q64" s="129"/>
      <c r="R64" s="134"/>
      <c r="S64" s="128"/>
      <c r="T64" s="129"/>
    </row>
    <row r="65" spans="1:25" s="166" customFormat="1" ht="36.75" customHeight="1" x14ac:dyDescent="0.3">
      <c r="A65" s="159"/>
      <c r="B65" s="160" t="s">
        <v>27</v>
      </c>
      <c r="C65" s="161"/>
      <c r="D65" s="162">
        <f>D58+D46</f>
        <v>5298771.3249999993</v>
      </c>
      <c r="E65" s="162" t="e">
        <f>E58+E46</f>
        <v>#REF!</v>
      </c>
      <c r="F65" s="162">
        <f t="shared" si="13"/>
        <v>1591290.0349999999</v>
      </c>
      <c r="G65" s="162">
        <f>G58+G46</f>
        <v>373217.95900000003</v>
      </c>
      <c r="H65" s="162">
        <f>H58+H46</f>
        <v>452498.94200000004</v>
      </c>
      <c r="I65" s="162">
        <f>I58+I46</f>
        <v>368762.511</v>
      </c>
      <c r="J65" s="162">
        <f>J58+J46</f>
        <v>396810.62299999996</v>
      </c>
      <c r="K65" s="162">
        <f>K58+K46</f>
        <v>1562896.077</v>
      </c>
      <c r="L65" s="163">
        <f>F65-K65</f>
        <v>28393.957999999868</v>
      </c>
      <c r="M65" s="164">
        <f>F65/K65*100</f>
        <v>101.81675278464468</v>
      </c>
      <c r="N65" s="162">
        <f>N58+N46</f>
        <v>2369451.5413333336</v>
      </c>
      <c r="O65" s="163">
        <f>F65-N65</f>
        <v>-778161.50633333367</v>
      </c>
      <c r="P65" s="164">
        <f>F65/N65*100</f>
        <v>67.158581099512674</v>
      </c>
      <c r="Q65" s="164">
        <f t="shared" si="14"/>
        <v>30.031302303841166</v>
      </c>
      <c r="R65" s="162">
        <f>R58+R46</f>
        <v>1346447.8929999999</v>
      </c>
      <c r="S65" s="163">
        <f>F65-R65</f>
        <v>244842.14199999999</v>
      </c>
      <c r="T65" s="164">
        <f>F65/R65*100</f>
        <v>118.18430132149199</v>
      </c>
      <c r="U65" s="162">
        <v>1346447.8929999999</v>
      </c>
      <c r="V65" s="165">
        <f>U65-R65</f>
        <v>0</v>
      </c>
      <c r="Y65" s="165">
        <f>2708373.649-K65</f>
        <v>1145477.5720000002</v>
      </c>
    </row>
    <row r="66" spans="1:25" s="10" customFormat="1" ht="31.5" customHeight="1" x14ac:dyDescent="0.25">
      <c r="A66" s="186" t="s">
        <v>9</v>
      </c>
      <c r="B66" s="186"/>
      <c r="C66" s="186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</row>
    <row r="67" spans="1:25" s="61" customFormat="1" ht="28.5" customHeight="1" x14ac:dyDescent="0.3">
      <c r="A67" s="24">
        <v>1</v>
      </c>
      <c r="B67" s="60" t="s">
        <v>12</v>
      </c>
      <c r="C67" s="25" t="s">
        <v>21</v>
      </c>
      <c r="D67" s="130">
        <f>D68+D69</f>
        <v>94437.012000000002</v>
      </c>
      <c r="E67" s="130">
        <f t="shared" ref="E67" si="49">D67</f>
        <v>94437.012000000002</v>
      </c>
      <c r="F67" s="121">
        <f t="shared" ref="F67:F99" si="50">SUM(G67:J67)</f>
        <v>29057.025000000001</v>
      </c>
      <c r="G67" s="120">
        <f t="shared" ref="G67:K67" si="51">G68+G69</f>
        <v>6860.3910000000005</v>
      </c>
      <c r="H67" s="120">
        <f t="shared" ref="H67:I67" si="52">H68+H69</f>
        <v>7771.8059999999996</v>
      </c>
      <c r="I67" s="120">
        <f t="shared" si="52"/>
        <v>11164.861000000001</v>
      </c>
      <c r="J67" s="120">
        <f t="shared" si="51"/>
        <v>3259.9669999999996</v>
      </c>
      <c r="K67" s="122">
        <f t="shared" si="51"/>
        <v>31479.004000000001</v>
      </c>
      <c r="L67" s="123">
        <f t="shared" ref="L67:L82" si="53">F67-K67</f>
        <v>-2421.9789999999994</v>
      </c>
      <c r="M67" s="124">
        <f>F67/K67*100</f>
        <v>92.306049454423658</v>
      </c>
      <c r="N67" s="123">
        <f t="shared" ref="N67" si="54">N68+N69</f>
        <v>31479.004000000001</v>
      </c>
      <c r="O67" s="123">
        <f t="shared" ref="O67:O82" si="55">F67-N67</f>
        <v>-2421.9789999999994</v>
      </c>
      <c r="P67" s="124">
        <f>F67/N67*100</f>
        <v>92.306049454423658</v>
      </c>
      <c r="Q67" s="124">
        <f t="shared" si="14"/>
        <v>30.768683151474551</v>
      </c>
      <c r="R67" s="121">
        <f t="shared" ref="R67" si="56">R68+R69</f>
        <v>24160.834000000003</v>
      </c>
      <c r="S67" s="123">
        <f t="shared" ref="S67:S82" si="57">F67-R67</f>
        <v>4896.1909999999989</v>
      </c>
      <c r="T67" s="124">
        <f>F67/R67*100</f>
        <v>120.26499168033686</v>
      </c>
    </row>
    <row r="68" spans="1:25" s="64" customFormat="1" ht="41.25" customHeight="1" x14ac:dyDescent="0.3">
      <c r="A68" s="42" t="s">
        <v>117</v>
      </c>
      <c r="B68" s="106" t="s">
        <v>113</v>
      </c>
      <c r="C68" s="17" t="s">
        <v>114</v>
      </c>
      <c r="D68" s="131">
        <v>94437.012000000002</v>
      </c>
      <c r="E68" s="131">
        <v>70446.198000000004</v>
      </c>
      <c r="F68" s="126">
        <f t="shared" si="50"/>
        <v>16915.187999999998</v>
      </c>
      <c r="G68" s="125">
        <v>5377.3590000000004</v>
      </c>
      <c r="H68" s="125">
        <v>6381.8329999999996</v>
      </c>
      <c r="I68" s="125">
        <v>2956.0810000000001</v>
      </c>
      <c r="J68" s="125">
        <v>2199.915</v>
      </c>
      <c r="K68" s="127">
        <v>31479.004000000001</v>
      </c>
      <c r="L68" s="128">
        <f t="shared" si="53"/>
        <v>-14563.816000000003</v>
      </c>
      <c r="M68" s="129">
        <f>F68/K68*100</f>
        <v>53.734825917617968</v>
      </c>
      <c r="N68" s="128">
        <f>D68/12*4</f>
        <v>31479.004000000001</v>
      </c>
      <c r="O68" s="128">
        <f t="shared" si="55"/>
        <v>-14563.816000000003</v>
      </c>
      <c r="P68" s="129">
        <f>F68/N68*100</f>
        <v>53.734825917617968</v>
      </c>
      <c r="Q68" s="129">
        <f t="shared" si="14"/>
        <v>17.911608639205991</v>
      </c>
      <c r="R68" s="126">
        <v>20274.467000000001</v>
      </c>
      <c r="S68" s="128">
        <f t="shared" si="57"/>
        <v>-3359.2790000000023</v>
      </c>
      <c r="T68" s="129">
        <f>F68/R68*100</f>
        <v>83.430987359618371</v>
      </c>
    </row>
    <row r="69" spans="1:25" s="64" customFormat="1" ht="38.25" customHeight="1" x14ac:dyDescent="0.3">
      <c r="A69" s="42" t="s">
        <v>118</v>
      </c>
      <c r="B69" s="106" t="s">
        <v>115</v>
      </c>
      <c r="C69" s="17" t="s">
        <v>116</v>
      </c>
      <c r="D69" s="131">
        <v>0</v>
      </c>
      <c r="E69" s="131">
        <v>0</v>
      </c>
      <c r="F69" s="126">
        <f t="shared" si="50"/>
        <v>12141.837</v>
      </c>
      <c r="G69" s="125">
        <v>1483.0319999999999</v>
      </c>
      <c r="H69" s="125">
        <v>1389.973</v>
      </c>
      <c r="I69" s="125">
        <v>8208.7800000000007</v>
      </c>
      <c r="J69" s="125">
        <v>1060.0519999999999</v>
      </c>
      <c r="K69" s="127">
        <v>0</v>
      </c>
      <c r="L69" s="128">
        <f t="shared" si="53"/>
        <v>12141.837</v>
      </c>
      <c r="M69" s="129"/>
      <c r="N69" s="128"/>
      <c r="O69" s="128">
        <f t="shared" si="55"/>
        <v>12141.837</v>
      </c>
      <c r="P69" s="129"/>
      <c r="Q69" s="129"/>
      <c r="R69" s="126">
        <v>3886.3670000000002</v>
      </c>
      <c r="S69" s="128">
        <f t="shared" si="57"/>
        <v>8255.4699999999993</v>
      </c>
      <c r="T69" s="129">
        <f>F69/R69*100</f>
        <v>312.42126644241262</v>
      </c>
    </row>
    <row r="70" spans="1:25" s="61" customFormat="1" ht="47.25" customHeight="1" x14ac:dyDescent="0.3">
      <c r="A70" s="24">
        <v>2</v>
      </c>
      <c r="B70" s="119" t="s">
        <v>161</v>
      </c>
      <c r="C70" s="25" t="s">
        <v>159</v>
      </c>
      <c r="D70" s="130"/>
      <c r="E70" s="130"/>
      <c r="F70" s="121">
        <f t="shared" si="50"/>
        <v>38.006</v>
      </c>
      <c r="G70" s="120">
        <v>0</v>
      </c>
      <c r="H70" s="120">
        <v>38.006</v>
      </c>
      <c r="I70" s="120">
        <v>0</v>
      </c>
      <c r="J70" s="120">
        <v>0</v>
      </c>
      <c r="K70" s="122">
        <v>0</v>
      </c>
      <c r="L70" s="123"/>
      <c r="M70" s="124"/>
      <c r="N70" s="123"/>
      <c r="O70" s="123">
        <f t="shared" si="55"/>
        <v>38.006</v>
      </c>
      <c r="P70" s="124"/>
      <c r="Q70" s="124"/>
      <c r="R70" s="121">
        <v>0</v>
      </c>
      <c r="S70" s="123">
        <f t="shared" si="57"/>
        <v>38.006</v>
      </c>
      <c r="T70" s="124"/>
    </row>
    <row r="71" spans="1:25" s="61" customFormat="1" ht="33.75" customHeight="1" x14ac:dyDescent="0.3">
      <c r="A71" s="24">
        <v>3</v>
      </c>
      <c r="B71" s="119" t="s">
        <v>30</v>
      </c>
      <c r="C71" s="25" t="s">
        <v>29</v>
      </c>
      <c r="D71" s="130">
        <v>2313.6999999999998</v>
      </c>
      <c r="E71" s="130">
        <v>2267.6</v>
      </c>
      <c r="F71" s="121">
        <f t="shared" si="50"/>
        <v>670.5150000000001</v>
      </c>
      <c r="G71" s="120">
        <v>12.451000000000001</v>
      </c>
      <c r="H71" s="120">
        <v>361.55099999999999</v>
      </c>
      <c r="I71" s="120">
        <v>86.131</v>
      </c>
      <c r="J71" s="120">
        <v>210.38200000000001</v>
      </c>
      <c r="K71" s="122">
        <v>580.82500000000005</v>
      </c>
      <c r="L71" s="123">
        <f t="shared" si="53"/>
        <v>89.690000000000055</v>
      </c>
      <c r="M71" s="124">
        <f>F71/K71*100</f>
        <v>115.44182843369346</v>
      </c>
      <c r="N71" s="123">
        <f>D71/12*4</f>
        <v>771.23333333333323</v>
      </c>
      <c r="O71" s="123">
        <f t="shared" si="55"/>
        <v>-100.71833333333313</v>
      </c>
      <c r="P71" s="124">
        <f t="shared" ref="P71:P77" si="58">F71/N71*100</f>
        <v>86.940614599991378</v>
      </c>
      <c r="Q71" s="124">
        <f t="shared" si="14"/>
        <v>28.980204866663794</v>
      </c>
      <c r="R71" s="121">
        <v>565.07299999999998</v>
      </c>
      <c r="S71" s="123">
        <f t="shared" si="57"/>
        <v>105.44200000000012</v>
      </c>
      <c r="T71" s="124">
        <f>F71/R71*100</f>
        <v>118.65988996112009</v>
      </c>
    </row>
    <row r="72" spans="1:25" s="61" customFormat="1" ht="47.25" customHeight="1" x14ac:dyDescent="0.3">
      <c r="A72" s="24">
        <v>4</v>
      </c>
      <c r="B72" s="119" t="s">
        <v>162</v>
      </c>
      <c r="C72" s="25" t="s">
        <v>160</v>
      </c>
      <c r="D72" s="130"/>
      <c r="E72" s="130"/>
      <c r="F72" s="121">
        <f t="shared" si="50"/>
        <v>0.46499999999999997</v>
      </c>
      <c r="G72" s="120">
        <v>0</v>
      </c>
      <c r="H72" s="120">
        <v>0.36</v>
      </c>
      <c r="I72" s="120">
        <v>0.105</v>
      </c>
      <c r="J72" s="120">
        <v>0</v>
      </c>
      <c r="K72" s="122">
        <v>0</v>
      </c>
      <c r="L72" s="123">
        <f t="shared" si="53"/>
        <v>0.46499999999999997</v>
      </c>
      <c r="M72" s="124"/>
      <c r="N72" s="123"/>
      <c r="O72" s="123">
        <f t="shared" si="55"/>
        <v>0.46499999999999997</v>
      </c>
      <c r="P72" s="124"/>
      <c r="Q72" s="124"/>
      <c r="R72" s="121">
        <v>0</v>
      </c>
      <c r="S72" s="123">
        <f t="shared" si="57"/>
        <v>0.46499999999999997</v>
      </c>
      <c r="T72" s="124"/>
    </row>
    <row r="73" spans="1:25" s="61" customFormat="1" ht="39" x14ac:dyDescent="0.3">
      <c r="A73" s="24">
        <v>5</v>
      </c>
      <c r="B73" s="119" t="s">
        <v>83</v>
      </c>
      <c r="C73" s="25">
        <v>21110000</v>
      </c>
      <c r="D73" s="130">
        <v>110</v>
      </c>
      <c r="E73" s="130">
        <v>160</v>
      </c>
      <c r="F73" s="121">
        <f t="shared" si="50"/>
        <v>0</v>
      </c>
      <c r="G73" s="120">
        <v>0</v>
      </c>
      <c r="H73" s="120">
        <v>0</v>
      </c>
      <c r="I73" s="120">
        <v>0</v>
      </c>
      <c r="J73" s="120">
        <v>0</v>
      </c>
      <c r="K73" s="122">
        <v>0</v>
      </c>
      <c r="L73" s="123">
        <f t="shared" si="53"/>
        <v>0</v>
      </c>
      <c r="M73" s="124"/>
      <c r="N73" s="123">
        <f t="shared" ref="N73:N74" si="59">D73/12*4</f>
        <v>36.666666666666664</v>
      </c>
      <c r="O73" s="123">
        <f t="shared" si="55"/>
        <v>-36.666666666666664</v>
      </c>
      <c r="P73" s="124">
        <f t="shared" si="58"/>
        <v>0</v>
      </c>
      <c r="Q73" s="124">
        <f t="shared" si="14"/>
        <v>0</v>
      </c>
      <c r="R73" s="121">
        <v>13.731999999999999</v>
      </c>
      <c r="S73" s="123">
        <f t="shared" si="57"/>
        <v>-13.731999999999999</v>
      </c>
      <c r="T73" s="124"/>
    </row>
    <row r="74" spans="1:25" s="61" customFormat="1" ht="58.5" x14ac:dyDescent="0.3">
      <c r="A74" s="24">
        <f t="shared" ref="A74:A76" si="60">A73+1</f>
        <v>6</v>
      </c>
      <c r="B74" s="60" t="s">
        <v>26</v>
      </c>
      <c r="C74" s="25" t="s">
        <v>25</v>
      </c>
      <c r="D74" s="130">
        <v>20</v>
      </c>
      <c r="E74" s="130">
        <v>15.7</v>
      </c>
      <c r="F74" s="121">
        <f t="shared" si="50"/>
        <v>14.063000000000001</v>
      </c>
      <c r="G74" s="120">
        <v>11.72</v>
      </c>
      <c r="H74" s="120">
        <v>2.343</v>
      </c>
      <c r="I74" s="120">
        <v>0</v>
      </c>
      <c r="J74" s="120">
        <v>0</v>
      </c>
      <c r="K74" s="122">
        <v>14.061999999999999</v>
      </c>
      <c r="L74" s="123">
        <f t="shared" si="53"/>
        <v>1.0000000000012221E-3</v>
      </c>
      <c r="M74" s="124">
        <f>F74/K74*100</f>
        <v>100.00711136395961</v>
      </c>
      <c r="N74" s="123">
        <f t="shared" si="59"/>
        <v>6.666666666666667</v>
      </c>
      <c r="O74" s="123">
        <f t="shared" si="55"/>
        <v>7.3963333333333336</v>
      </c>
      <c r="P74" s="124">
        <f t="shared" si="58"/>
        <v>210.94499999999999</v>
      </c>
      <c r="Q74" s="124">
        <f t="shared" ref="Q74:Q99" si="61">F74/D74*100</f>
        <v>70.315000000000012</v>
      </c>
      <c r="R74" s="121">
        <v>134.029</v>
      </c>
      <c r="S74" s="123">
        <f t="shared" si="57"/>
        <v>-119.96599999999999</v>
      </c>
      <c r="T74" s="124">
        <f>F74/R74*100</f>
        <v>10.492505353319057</v>
      </c>
    </row>
    <row r="75" spans="1:25" s="61" customFormat="1" ht="58.5" x14ac:dyDescent="0.3">
      <c r="A75" s="24">
        <f t="shared" si="60"/>
        <v>7</v>
      </c>
      <c r="B75" s="60" t="s">
        <v>64</v>
      </c>
      <c r="C75" s="25" t="s">
        <v>65</v>
      </c>
      <c r="D75" s="130">
        <v>0</v>
      </c>
      <c r="E75" s="130">
        <v>0.4</v>
      </c>
      <c r="F75" s="121">
        <f t="shared" si="50"/>
        <v>0</v>
      </c>
      <c r="G75" s="120">
        <v>0</v>
      </c>
      <c r="H75" s="120">
        <v>0</v>
      </c>
      <c r="I75" s="120">
        <v>0</v>
      </c>
      <c r="J75" s="120">
        <v>0</v>
      </c>
      <c r="K75" s="122">
        <v>0</v>
      </c>
      <c r="L75" s="123">
        <f t="shared" si="53"/>
        <v>0</v>
      </c>
      <c r="M75" s="124"/>
      <c r="N75" s="123"/>
      <c r="O75" s="123">
        <f t="shared" si="55"/>
        <v>0</v>
      </c>
      <c r="P75" s="124"/>
      <c r="Q75" s="124"/>
      <c r="R75" s="121">
        <v>9.1000000000000011E-2</v>
      </c>
      <c r="S75" s="123">
        <f t="shared" si="57"/>
        <v>-9.1000000000000011E-2</v>
      </c>
      <c r="T75" s="124"/>
    </row>
    <row r="76" spans="1:25" s="32" customFormat="1" ht="35.25" customHeight="1" x14ac:dyDescent="0.3">
      <c r="A76" s="12">
        <f t="shared" si="60"/>
        <v>8</v>
      </c>
      <c r="B76" s="16" t="s">
        <v>10</v>
      </c>
      <c r="C76" s="9"/>
      <c r="D76" s="56">
        <f>SUM(D77:D80)</f>
        <v>69003.199999999997</v>
      </c>
      <c r="E76" s="56">
        <f>SUM(E77:E80)</f>
        <v>90003.199999999997</v>
      </c>
      <c r="F76" s="49">
        <f t="shared" si="50"/>
        <v>16913.505000000001</v>
      </c>
      <c r="G76" s="56">
        <f>SUM(G77:G80)</f>
        <v>7157.3879999999999</v>
      </c>
      <c r="H76" s="56">
        <f>SUM(H77:H80)</f>
        <v>8333.3260000000009</v>
      </c>
      <c r="I76" s="56">
        <f>SUM(I77:I80)</f>
        <v>847.39499999999998</v>
      </c>
      <c r="J76" s="56">
        <f>SUM(J77:J80)</f>
        <v>575.39599999999996</v>
      </c>
      <c r="K76" s="56">
        <f>SUM(K77:K80)</f>
        <v>15890.3</v>
      </c>
      <c r="L76" s="56">
        <f t="shared" si="53"/>
        <v>1023.2050000000017</v>
      </c>
      <c r="M76" s="94">
        <f>F76/K76*100</f>
        <v>106.4391798770319</v>
      </c>
      <c r="N76" s="56">
        <f>SUM(N77:N80)</f>
        <v>23001.066666666666</v>
      </c>
      <c r="O76" s="93">
        <f t="shared" si="55"/>
        <v>-6087.5616666666647</v>
      </c>
      <c r="P76" s="94">
        <f t="shared" si="58"/>
        <v>73.533568008440199</v>
      </c>
      <c r="Q76" s="94">
        <f t="shared" si="61"/>
        <v>24.511189336146732</v>
      </c>
      <c r="R76" s="49">
        <f>SUM(R77:R80)</f>
        <v>26023.059000000001</v>
      </c>
      <c r="S76" s="93">
        <f t="shared" si="57"/>
        <v>-9109.5540000000001</v>
      </c>
      <c r="T76" s="94">
        <f>F76/R76*100</f>
        <v>64.994299863056071</v>
      </c>
      <c r="U76" s="62"/>
    </row>
    <row r="77" spans="1:25" s="64" customFormat="1" ht="39" x14ac:dyDescent="0.3">
      <c r="A77" s="14" t="s">
        <v>163</v>
      </c>
      <c r="B77" s="106" t="s">
        <v>140</v>
      </c>
      <c r="C77" s="17" t="s">
        <v>62</v>
      </c>
      <c r="D77" s="131">
        <v>3.2</v>
      </c>
      <c r="E77" s="131">
        <v>3.2</v>
      </c>
      <c r="F77" s="126">
        <f t="shared" si="50"/>
        <v>0</v>
      </c>
      <c r="G77" s="125">
        <v>0</v>
      </c>
      <c r="H77" s="125">
        <v>0</v>
      </c>
      <c r="I77" s="125">
        <v>0</v>
      </c>
      <c r="J77" s="125">
        <v>0</v>
      </c>
      <c r="K77" s="127">
        <v>0</v>
      </c>
      <c r="L77" s="128">
        <f t="shared" si="53"/>
        <v>0</v>
      </c>
      <c r="M77" s="129"/>
      <c r="N77" s="128">
        <f>D77/12*4</f>
        <v>1.0666666666666667</v>
      </c>
      <c r="O77" s="128">
        <f t="shared" si="55"/>
        <v>-1.0666666666666667</v>
      </c>
      <c r="P77" s="129">
        <f t="shared" si="58"/>
        <v>0</v>
      </c>
      <c r="Q77" s="129">
        <f t="shared" si="61"/>
        <v>0</v>
      </c>
      <c r="R77" s="126">
        <v>0</v>
      </c>
      <c r="S77" s="128">
        <f t="shared" si="57"/>
        <v>0</v>
      </c>
      <c r="T77" s="129"/>
    </row>
    <row r="78" spans="1:25" s="64" customFormat="1" ht="33" customHeight="1" x14ac:dyDescent="0.3">
      <c r="A78" s="14" t="s">
        <v>164</v>
      </c>
      <c r="B78" s="106" t="s">
        <v>153</v>
      </c>
      <c r="C78" s="17" t="s">
        <v>43</v>
      </c>
      <c r="D78" s="131">
        <v>0</v>
      </c>
      <c r="E78" s="131">
        <v>0</v>
      </c>
      <c r="F78" s="126">
        <f t="shared" si="50"/>
        <v>823.61800000000005</v>
      </c>
      <c r="G78" s="125">
        <v>12.75</v>
      </c>
      <c r="H78" s="125">
        <v>807.42100000000005</v>
      </c>
      <c r="I78" s="125">
        <v>3.4470000000000001</v>
      </c>
      <c r="J78" s="125">
        <v>0</v>
      </c>
      <c r="K78" s="127">
        <v>0</v>
      </c>
      <c r="L78" s="128">
        <f t="shared" si="53"/>
        <v>823.61800000000005</v>
      </c>
      <c r="M78" s="129"/>
      <c r="N78" s="128">
        <f t="shared" ref="N78" si="62">D78/12*3</f>
        <v>0</v>
      </c>
      <c r="O78" s="128">
        <f t="shared" si="55"/>
        <v>823.61800000000005</v>
      </c>
      <c r="P78" s="129"/>
      <c r="Q78" s="129"/>
      <c r="R78" s="126">
        <v>8348.6720000000005</v>
      </c>
      <c r="S78" s="128">
        <f t="shared" si="57"/>
        <v>-7525.0540000000001</v>
      </c>
      <c r="T78" s="129">
        <f>F78/R78*100</f>
        <v>9.8652576122286266</v>
      </c>
    </row>
    <row r="79" spans="1:25" s="64" customFormat="1" ht="33" customHeight="1" x14ac:dyDescent="0.3">
      <c r="A79" s="14" t="s">
        <v>165</v>
      </c>
      <c r="B79" s="106" t="s">
        <v>35</v>
      </c>
      <c r="C79" s="17" t="s">
        <v>22</v>
      </c>
      <c r="D79" s="131">
        <v>19000</v>
      </c>
      <c r="E79" s="131">
        <v>20000</v>
      </c>
      <c r="F79" s="126">
        <f t="shared" si="50"/>
        <v>6574.5780000000004</v>
      </c>
      <c r="G79" s="125">
        <v>3.9</v>
      </c>
      <c r="H79" s="125">
        <v>6190.4620000000004</v>
      </c>
      <c r="I79" s="125">
        <v>380.21600000000001</v>
      </c>
      <c r="J79" s="125">
        <v>0</v>
      </c>
      <c r="K79" s="127">
        <v>6574</v>
      </c>
      <c r="L79" s="128">
        <f t="shared" si="53"/>
        <v>0.57800000000042928</v>
      </c>
      <c r="M79" s="129">
        <f>F79/K79*100</f>
        <v>100.00879221174324</v>
      </c>
      <c r="N79" s="128">
        <f t="shared" ref="N79:N81" si="63">D79/12*4</f>
        <v>6333.333333333333</v>
      </c>
      <c r="O79" s="128">
        <f t="shared" si="55"/>
        <v>241.2446666666674</v>
      </c>
      <c r="P79" s="129">
        <f>F79/N79*100</f>
        <v>103.80912631578948</v>
      </c>
      <c r="Q79" s="129">
        <f t="shared" si="61"/>
        <v>34.603042105263157</v>
      </c>
      <c r="R79" s="126">
        <v>4200.5239999999994</v>
      </c>
      <c r="S79" s="128">
        <f t="shared" si="57"/>
        <v>2374.054000000001</v>
      </c>
      <c r="T79" s="129">
        <f>F79/R79*100</f>
        <v>156.51804393928001</v>
      </c>
    </row>
    <row r="80" spans="1:25" s="63" customFormat="1" ht="33" customHeight="1" x14ac:dyDescent="0.3">
      <c r="A80" s="14" t="s">
        <v>166</v>
      </c>
      <c r="B80" s="45" t="s">
        <v>66</v>
      </c>
      <c r="C80" s="17" t="s">
        <v>41</v>
      </c>
      <c r="D80" s="131">
        <v>50000</v>
      </c>
      <c r="E80" s="131">
        <v>70000</v>
      </c>
      <c r="F80" s="134">
        <f t="shared" si="50"/>
        <v>9515.3090000000011</v>
      </c>
      <c r="G80" s="131">
        <v>7140.7380000000003</v>
      </c>
      <c r="H80" s="131">
        <v>1335.443</v>
      </c>
      <c r="I80" s="131">
        <v>463.73200000000003</v>
      </c>
      <c r="J80" s="131">
        <v>575.39599999999996</v>
      </c>
      <c r="K80" s="131">
        <v>9316.2999999999993</v>
      </c>
      <c r="L80" s="128">
        <f t="shared" si="53"/>
        <v>199.00900000000183</v>
      </c>
      <c r="M80" s="129">
        <f>F80/K80*100</f>
        <v>102.13613773708448</v>
      </c>
      <c r="N80" s="128">
        <f t="shared" si="63"/>
        <v>16666.666666666668</v>
      </c>
      <c r="O80" s="128">
        <f t="shared" si="55"/>
        <v>-7151.3576666666668</v>
      </c>
      <c r="P80" s="129">
        <f>F80/N80*100</f>
        <v>57.091853999999998</v>
      </c>
      <c r="Q80" s="129">
        <f t="shared" si="61"/>
        <v>19.030618</v>
      </c>
      <c r="R80" s="134">
        <v>13473.862999999999</v>
      </c>
      <c r="S80" s="128">
        <f t="shared" si="57"/>
        <v>-3958.5539999999983</v>
      </c>
      <c r="T80" s="129">
        <f>F80/R80*100</f>
        <v>70.620496883484734</v>
      </c>
    </row>
    <row r="81" spans="1:22" s="61" customFormat="1" ht="40.5" customHeight="1" x14ac:dyDescent="0.3">
      <c r="A81" s="24">
        <v>9</v>
      </c>
      <c r="B81" s="119" t="s">
        <v>11</v>
      </c>
      <c r="C81" s="25" t="s">
        <v>23</v>
      </c>
      <c r="D81" s="130">
        <v>6090</v>
      </c>
      <c r="E81" s="130">
        <v>6000</v>
      </c>
      <c r="F81" s="121">
        <f t="shared" si="50"/>
        <v>1974.971</v>
      </c>
      <c r="G81" s="120">
        <v>783.11300000000006</v>
      </c>
      <c r="H81" s="120">
        <v>689.47400000000005</v>
      </c>
      <c r="I81" s="120">
        <v>223.41900000000001</v>
      </c>
      <c r="J81" s="120">
        <v>278.96499999999997</v>
      </c>
      <c r="K81" s="122">
        <v>1905</v>
      </c>
      <c r="L81" s="123">
        <f t="shared" si="53"/>
        <v>69.971000000000004</v>
      </c>
      <c r="M81" s="124">
        <f>F81/K81*100</f>
        <v>103.67301837270342</v>
      </c>
      <c r="N81" s="123">
        <f t="shared" si="63"/>
        <v>2030</v>
      </c>
      <c r="O81" s="123">
        <f t="shared" si="55"/>
        <v>-55.028999999999996</v>
      </c>
      <c r="P81" s="124">
        <f>F81/N81*100</f>
        <v>97.289211822660093</v>
      </c>
      <c r="Q81" s="124">
        <f t="shared" si="61"/>
        <v>32.429737274220031</v>
      </c>
      <c r="R81" s="121">
        <v>1520.7170000000001</v>
      </c>
      <c r="S81" s="123">
        <f t="shared" si="57"/>
        <v>454.25399999999991</v>
      </c>
      <c r="T81" s="124">
        <f>F81/R81*100</f>
        <v>129.87104109443109</v>
      </c>
    </row>
    <row r="82" spans="1:22" s="54" customFormat="1" ht="35.25" customHeight="1" x14ac:dyDescent="0.3">
      <c r="A82" s="52"/>
      <c r="B82" s="87" t="s">
        <v>155</v>
      </c>
      <c r="C82" s="53"/>
      <c r="D82" s="49">
        <f>D67+D71+D74+D75+D77+D78+D79+D80+D81+D73</f>
        <v>171973.91200000001</v>
      </c>
      <c r="E82" s="49">
        <f>E67+E71+E74+E75+E77+E78+E79+E80+E81+E73</f>
        <v>192883.91200000001</v>
      </c>
      <c r="F82" s="49">
        <f t="shared" si="50"/>
        <v>48668.549999999996</v>
      </c>
      <c r="G82" s="49">
        <f>G67+G71+G74+G75+G77+G78+G79+G80+G81+G73</f>
        <v>14825.063</v>
      </c>
      <c r="H82" s="49">
        <f>H67+H71+H74+H75+H77+H78+H79+H80+H81+H73+H70+H72</f>
        <v>17196.865999999998</v>
      </c>
      <c r="I82" s="49">
        <f>I67+I71+I74+I75+I77+I78+I79+I80+I81+I73+I70+I72</f>
        <v>12321.911</v>
      </c>
      <c r="J82" s="49">
        <f>J67+J71+J74+J75+J77+J78+J79+J80+J81+J73+J70+J72</f>
        <v>4324.71</v>
      </c>
      <c r="K82" s="49">
        <f>K67+K71+K74+K75+K77+K78+K79+K80+K81+K73</f>
        <v>49869.191000000006</v>
      </c>
      <c r="L82" s="89">
        <f t="shared" si="53"/>
        <v>-1200.6410000000105</v>
      </c>
      <c r="M82" s="90">
        <f>F82/K82*100</f>
        <v>97.592419335617436</v>
      </c>
      <c r="N82" s="89">
        <f>N67+N71+N74+N75+N77+N78+N79+N80+N81+N73</f>
        <v>57324.637333333339</v>
      </c>
      <c r="O82" s="89">
        <f t="shared" si="55"/>
        <v>-8656.0873333333438</v>
      </c>
      <c r="P82" s="90">
        <f>F82/N82*100</f>
        <v>84.899882954340171</v>
      </c>
      <c r="Q82" s="90">
        <f t="shared" si="61"/>
        <v>28.299960984780061</v>
      </c>
      <c r="R82" s="49">
        <f>R67+R71+R74+R75+R77+R78+R79+R80+R81+R73</f>
        <v>52417.534999999996</v>
      </c>
      <c r="S82" s="89">
        <f t="shared" si="57"/>
        <v>-3748.9850000000006</v>
      </c>
      <c r="T82" s="90">
        <f>F82/R82*100</f>
        <v>92.847841852921931</v>
      </c>
    </row>
    <row r="83" spans="1:22" s="67" customFormat="1" ht="22.5" x14ac:dyDescent="0.3">
      <c r="A83" s="66"/>
      <c r="B83" s="157"/>
      <c r="C83" s="55"/>
      <c r="D83" s="56"/>
      <c r="E83" s="56"/>
      <c r="F83" s="49"/>
      <c r="G83" s="56"/>
      <c r="H83" s="56"/>
      <c r="I83" s="56"/>
      <c r="J83" s="56"/>
      <c r="K83" s="56"/>
      <c r="L83" s="93"/>
      <c r="M83" s="94"/>
      <c r="N83" s="93"/>
      <c r="O83" s="93"/>
      <c r="P83" s="94"/>
      <c r="Q83" s="94"/>
      <c r="R83" s="49"/>
      <c r="S83" s="93"/>
      <c r="T83" s="94"/>
    </row>
    <row r="84" spans="1:22" s="27" customFormat="1" ht="78" x14ac:dyDescent="0.25">
      <c r="A84" s="24">
        <v>1</v>
      </c>
      <c r="B84" s="60" t="s">
        <v>131</v>
      </c>
      <c r="C84" s="25" t="s">
        <v>69</v>
      </c>
      <c r="D84" s="130">
        <v>22916.2</v>
      </c>
      <c r="E84" s="130">
        <v>120420</v>
      </c>
      <c r="F84" s="135">
        <f t="shared" si="50"/>
        <v>0</v>
      </c>
      <c r="G84" s="130">
        <v>0</v>
      </c>
      <c r="H84" s="130">
        <v>0</v>
      </c>
      <c r="I84" s="130">
        <v>0</v>
      </c>
      <c r="J84" s="130">
        <v>0</v>
      </c>
      <c r="K84" s="130">
        <v>22916.2</v>
      </c>
      <c r="L84" s="123">
        <f>F84-K84</f>
        <v>-22916.2</v>
      </c>
      <c r="M84" s="136"/>
      <c r="N84" s="130">
        <f>D84</f>
        <v>22916.2</v>
      </c>
      <c r="O84" s="123">
        <f>F84-N84</f>
        <v>-22916.2</v>
      </c>
      <c r="P84" s="136">
        <f>F84/N84*100</f>
        <v>0</v>
      </c>
      <c r="Q84" s="136">
        <f t="shared" si="61"/>
        <v>0</v>
      </c>
      <c r="R84" s="135">
        <v>1530.3</v>
      </c>
      <c r="S84" s="123">
        <f>F84-R84</f>
        <v>-1530.3</v>
      </c>
      <c r="T84" s="124"/>
    </row>
    <row r="85" spans="1:22" s="36" customFormat="1" ht="22.5" x14ac:dyDescent="0.25">
      <c r="A85" s="35"/>
      <c r="B85" s="95"/>
      <c r="C85" s="26"/>
      <c r="D85" s="56"/>
      <c r="E85" s="56"/>
      <c r="F85" s="49"/>
      <c r="G85" s="56"/>
      <c r="H85" s="56"/>
      <c r="I85" s="56"/>
      <c r="J85" s="56"/>
      <c r="K85" s="56"/>
      <c r="L85" s="93"/>
      <c r="M85" s="94"/>
      <c r="N85" s="93"/>
      <c r="O85" s="93"/>
      <c r="P85" s="94"/>
      <c r="Q85" s="94"/>
      <c r="R85" s="49"/>
      <c r="S85" s="93"/>
      <c r="T85" s="94"/>
    </row>
    <row r="86" spans="1:22" s="50" customFormat="1" ht="37.5" customHeight="1" x14ac:dyDescent="0.3">
      <c r="A86" s="47"/>
      <c r="B86" s="51" t="s">
        <v>174</v>
      </c>
      <c r="C86" s="53"/>
      <c r="D86" s="49">
        <f>D87+D88</f>
        <v>22916.2</v>
      </c>
      <c r="E86" s="49">
        <f>E87+E88</f>
        <v>120420</v>
      </c>
      <c r="F86" s="49">
        <f t="shared" si="50"/>
        <v>0</v>
      </c>
      <c r="G86" s="49">
        <f>G87+G88</f>
        <v>0</v>
      </c>
      <c r="H86" s="49">
        <f>H87+H88</f>
        <v>0</v>
      </c>
      <c r="I86" s="49">
        <f>I87+I88</f>
        <v>0</v>
      </c>
      <c r="J86" s="49">
        <f>J87+J88</f>
        <v>0</v>
      </c>
      <c r="K86" s="49">
        <f>K87+K88</f>
        <v>22916.2</v>
      </c>
      <c r="L86" s="89">
        <f>F86-K86</f>
        <v>-22916.2</v>
      </c>
      <c r="M86" s="90">
        <f>F86/K86*100</f>
        <v>0</v>
      </c>
      <c r="N86" s="49">
        <f>N87+N88</f>
        <v>22916.2</v>
      </c>
      <c r="O86" s="89">
        <f>F86-N86</f>
        <v>-22916.2</v>
      </c>
      <c r="P86" s="90">
        <f>F86/N86*100</f>
        <v>0</v>
      </c>
      <c r="Q86" s="90">
        <f t="shared" si="61"/>
        <v>0</v>
      </c>
      <c r="R86" s="49">
        <f>R87+R88</f>
        <v>1530.3</v>
      </c>
      <c r="S86" s="89">
        <f>F86-R86</f>
        <v>-1530.3</v>
      </c>
      <c r="T86" s="90"/>
    </row>
    <row r="87" spans="1:22" s="8" customFormat="1" ht="37.5" hidden="1" customHeight="1" x14ac:dyDescent="0.25">
      <c r="A87" s="14"/>
      <c r="B87" s="17" t="s">
        <v>101</v>
      </c>
      <c r="C87" s="17"/>
      <c r="D87" s="131">
        <f>D84</f>
        <v>22916.2</v>
      </c>
      <c r="E87" s="131">
        <f>E84</f>
        <v>120420</v>
      </c>
      <c r="F87" s="134">
        <f t="shared" si="50"/>
        <v>0</v>
      </c>
      <c r="G87" s="131">
        <f>G84</f>
        <v>0</v>
      </c>
      <c r="H87" s="131">
        <f>H84</f>
        <v>0</v>
      </c>
      <c r="I87" s="131">
        <f>I84</f>
        <v>0</v>
      </c>
      <c r="J87" s="131">
        <f>J84</f>
        <v>0</v>
      </c>
      <c r="K87" s="131">
        <f>K84</f>
        <v>22916.2</v>
      </c>
      <c r="L87" s="128">
        <f>F87-K87</f>
        <v>-22916.2</v>
      </c>
      <c r="M87" s="129"/>
      <c r="N87" s="131">
        <f>N84</f>
        <v>22916.2</v>
      </c>
      <c r="O87" s="128">
        <f>F87-N87</f>
        <v>-22916.2</v>
      </c>
      <c r="P87" s="129">
        <f>F87/N87*100</f>
        <v>0</v>
      </c>
      <c r="Q87" s="129">
        <f t="shared" si="61"/>
        <v>0</v>
      </c>
      <c r="R87" s="134">
        <f>R84</f>
        <v>1530.3</v>
      </c>
      <c r="S87" s="128">
        <f>F87-R87</f>
        <v>-1530.3</v>
      </c>
      <c r="T87" s="129"/>
    </row>
    <row r="88" spans="1:22" s="8" customFormat="1" ht="37.5" hidden="1" customHeight="1" x14ac:dyDescent="0.25">
      <c r="A88" s="14"/>
      <c r="B88" s="177" t="s">
        <v>100</v>
      </c>
      <c r="C88" s="17"/>
      <c r="D88" s="131">
        <v>0</v>
      </c>
      <c r="E88" s="131">
        <v>0</v>
      </c>
      <c r="F88" s="134">
        <f t="shared" si="50"/>
        <v>0</v>
      </c>
      <c r="G88" s="131">
        <v>0</v>
      </c>
      <c r="H88" s="131">
        <v>0</v>
      </c>
      <c r="I88" s="131">
        <v>0</v>
      </c>
      <c r="J88" s="131">
        <v>0</v>
      </c>
      <c r="K88" s="131">
        <v>0</v>
      </c>
      <c r="L88" s="128">
        <f>F88-K88</f>
        <v>0</v>
      </c>
      <c r="M88" s="129"/>
      <c r="N88" s="131">
        <v>0</v>
      </c>
      <c r="O88" s="128">
        <f>F88-N88</f>
        <v>0</v>
      </c>
      <c r="P88" s="129"/>
      <c r="Q88" s="129"/>
      <c r="R88" s="134">
        <v>0</v>
      </c>
      <c r="S88" s="128">
        <f>F88-R88</f>
        <v>0</v>
      </c>
      <c r="T88" s="129"/>
    </row>
    <row r="89" spans="1:22" s="10" customFormat="1" ht="23.25" x14ac:dyDescent="0.25">
      <c r="A89" s="24"/>
      <c r="B89" s="41"/>
      <c r="C89" s="25"/>
      <c r="D89" s="130"/>
      <c r="E89" s="130"/>
      <c r="F89" s="137"/>
      <c r="G89" s="138"/>
      <c r="H89" s="138"/>
      <c r="I89" s="138"/>
      <c r="J89" s="138"/>
      <c r="K89" s="130"/>
      <c r="L89" s="123"/>
      <c r="M89" s="124"/>
      <c r="N89" s="130"/>
      <c r="O89" s="123"/>
      <c r="P89" s="124"/>
      <c r="Q89" s="124"/>
      <c r="R89" s="137"/>
      <c r="S89" s="123"/>
      <c r="T89" s="124"/>
    </row>
    <row r="90" spans="1:22" s="166" customFormat="1" ht="44.25" customHeight="1" x14ac:dyDescent="0.3">
      <c r="A90" s="159"/>
      <c r="B90" s="160" t="s">
        <v>40</v>
      </c>
      <c r="C90" s="167"/>
      <c r="D90" s="162">
        <f>D82+D86</f>
        <v>194890.11200000002</v>
      </c>
      <c r="E90" s="162">
        <f>E82+E86</f>
        <v>313303.91200000001</v>
      </c>
      <c r="F90" s="162">
        <f t="shared" si="50"/>
        <v>48668.549999999996</v>
      </c>
      <c r="G90" s="162">
        <f>G82+G86</f>
        <v>14825.063</v>
      </c>
      <c r="H90" s="162">
        <f>H82+H86</f>
        <v>17196.865999999998</v>
      </c>
      <c r="I90" s="162">
        <f>I82+I86</f>
        <v>12321.911</v>
      </c>
      <c r="J90" s="162">
        <f>J82+J86</f>
        <v>4324.71</v>
      </c>
      <c r="K90" s="162">
        <f>K82+K86</f>
        <v>72785.391000000003</v>
      </c>
      <c r="L90" s="163">
        <f>F90-K90</f>
        <v>-24116.841000000008</v>
      </c>
      <c r="M90" s="164">
        <f>F90/K90*100</f>
        <v>66.865822016398852</v>
      </c>
      <c r="N90" s="162">
        <f>N82+N86</f>
        <v>80240.837333333344</v>
      </c>
      <c r="O90" s="163">
        <f>F90-N90</f>
        <v>-31572.287333333348</v>
      </c>
      <c r="P90" s="164">
        <f>F90/N90*100</f>
        <v>60.653093384136824</v>
      </c>
      <c r="Q90" s="164">
        <f t="shared" si="61"/>
        <v>24.97230336652482</v>
      </c>
      <c r="R90" s="162">
        <f>R82+R86</f>
        <v>53947.834999999999</v>
      </c>
      <c r="S90" s="163">
        <f>F90-R90</f>
        <v>-5279.2850000000035</v>
      </c>
      <c r="T90" s="164">
        <f>F90/R90*100</f>
        <v>90.214092928845062</v>
      </c>
      <c r="U90" s="166">
        <v>53947.834999999999</v>
      </c>
      <c r="V90" s="165">
        <f>U90-R90</f>
        <v>0</v>
      </c>
    </row>
    <row r="91" spans="1:22" s="13" customFormat="1" ht="25.5" customHeight="1" x14ac:dyDescent="0.25">
      <c r="A91" s="189" t="s">
        <v>39</v>
      </c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</row>
    <row r="92" spans="1:22" s="166" customFormat="1" ht="37.5" customHeight="1" x14ac:dyDescent="0.3">
      <c r="A92" s="168"/>
      <c r="B92" s="160" t="s">
        <v>155</v>
      </c>
      <c r="C92" s="167"/>
      <c r="D92" s="162">
        <f>D46+D82</f>
        <v>4561433.8969999999</v>
      </c>
      <c r="E92" s="162">
        <f>E46+E82</f>
        <v>3944505.3009999995</v>
      </c>
      <c r="F92" s="162">
        <f t="shared" si="50"/>
        <v>1359895.773</v>
      </c>
      <c r="G92" s="162">
        <f>G46+G82</f>
        <v>318364.7900000001</v>
      </c>
      <c r="H92" s="162">
        <f>H46+H82</f>
        <v>399800.83799999999</v>
      </c>
      <c r="I92" s="162">
        <f>I46+I82</f>
        <v>311256.16200000001</v>
      </c>
      <c r="J92" s="162">
        <f>J46+J82</f>
        <v>330473.98300000001</v>
      </c>
      <c r="K92" s="162">
        <f>K46+K82</f>
        <v>1332321.4100000001</v>
      </c>
      <c r="L92" s="163">
        <f>F92-K92</f>
        <v>27574.362999999896</v>
      </c>
      <c r="M92" s="164">
        <f>F92/K92*100</f>
        <v>102.06964796880355</v>
      </c>
      <c r="N92" s="162">
        <f>N46+N82</f>
        <v>1520477.9656666669</v>
      </c>
      <c r="O92" s="163">
        <f>F92-N92</f>
        <v>-160582.19266666682</v>
      </c>
      <c r="P92" s="164">
        <f>F92/N92*100</f>
        <v>89.438703072802625</v>
      </c>
      <c r="Q92" s="164">
        <f t="shared" si="61"/>
        <v>29.812901024267546</v>
      </c>
      <c r="R92" s="162">
        <f>R46+R82</f>
        <v>1182363.7459999998</v>
      </c>
      <c r="S92" s="163">
        <f>F92-R92</f>
        <v>177532.02700000023</v>
      </c>
      <c r="T92" s="164">
        <f>F92/R92*100</f>
        <v>115.01500934890811</v>
      </c>
    </row>
    <row r="93" spans="1:22" s="32" customFormat="1" ht="22.5" x14ac:dyDescent="0.3">
      <c r="A93" s="12"/>
      <c r="B93" s="16"/>
      <c r="C93" s="26"/>
      <c r="D93" s="56"/>
      <c r="E93" s="56"/>
      <c r="F93" s="49"/>
      <c r="G93" s="56"/>
      <c r="H93" s="56"/>
      <c r="I93" s="56"/>
      <c r="J93" s="56"/>
      <c r="K93" s="56"/>
      <c r="L93" s="93"/>
      <c r="M93" s="94"/>
      <c r="N93" s="56"/>
      <c r="O93" s="93"/>
      <c r="P93" s="94"/>
      <c r="Q93" s="94"/>
      <c r="R93" s="49"/>
      <c r="S93" s="93"/>
      <c r="T93" s="94"/>
    </row>
    <row r="94" spans="1:22" s="50" customFormat="1" ht="39" customHeight="1" x14ac:dyDescent="0.3">
      <c r="A94" s="47"/>
      <c r="B94" s="51" t="s">
        <v>174</v>
      </c>
      <c r="C94" s="53"/>
      <c r="D94" s="49">
        <f>D58+D86</f>
        <v>932227.53999999992</v>
      </c>
      <c r="E94" s="49" t="e">
        <f>E58+E86</f>
        <v>#REF!</v>
      </c>
      <c r="F94" s="49">
        <f t="shared" si="50"/>
        <v>280062.81199999998</v>
      </c>
      <c r="G94" s="49">
        <f>G58+G86</f>
        <v>69678.231999999989</v>
      </c>
      <c r="H94" s="49">
        <f>H58+H86</f>
        <v>69894.97</v>
      </c>
      <c r="I94" s="49">
        <f>I58+I86</f>
        <v>69828.259999999995</v>
      </c>
      <c r="J94" s="49">
        <f>J58+J86</f>
        <v>70661.349999999991</v>
      </c>
      <c r="K94" s="49">
        <f>K58+K86</f>
        <v>303360.05799999996</v>
      </c>
      <c r="L94" s="89">
        <f>F94-K94</f>
        <v>-23297.245999999985</v>
      </c>
      <c r="M94" s="90">
        <f>F94/K94*100</f>
        <v>92.32026584066648</v>
      </c>
      <c r="N94" s="49">
        <f>N58+N86</f>
        <v>929214.41299999994</v>
      </c>
      <c r="O94" s="89">
        <f>F94-N94</f>
        <v>-649151.60100000002</v>
      </c>
      <c r="P94" s="90">
        <f>F94/N94*100</f>
        <v>30.139740417478865</v>
      </c>
      <c r="Q94" s="90">
        <f t="shared" si="61"/>
        <v>30.042323358093455</v>
      </c>
      <c r="R94" s="49">
        <f>R58+R86</f>
        <v>218031.98200000002</v>
      </c>
      <c r="S94" s="89">
        <f>F94-R94</f>
        <v>62030.829999999958</v>
      </c>
      <c r="T94" s="90">
        <f>F94/R94*100</f>
        <v>128.45033532741078</v>
      </c>
    </row>
    <row r="95" spans="1:22" s="57" customFormat="1" ht="39" hidden="1" customHeight="1" x14ac:dyDescent="0.3">
      <c r="A95" s="170"/>
      <c r="B95" s="58" t="s">
        <v>70</v>
      </c>
      <c r="C95" s="55"/>
      <c r="D95" s="56">
        <f t="shared" ref="D95:E95" si="64">D96+D97</f>
        <v>903227.53999999992</v>
      </c>
      <c r="E95" s="56" t="e">
        <f t="shared" si="64"/>
        <v>#REF!</v>
      </c>
      <c r="F95" s="49">
        <f t="shared" si="50"/>
        <v>270396.01199999999</v>
      </c>
      <c r="G95" s="56">
        <f t="shared" ref="G95:K95" si="65">G96+G97</f>
        <v>67261.531999999992</v>
      </c>
      <c r="H95" s="56">
        <f t="shared" ref="H95:J95" si="66">H96+H97</f>
        <v>67478.27</v>
      </c>
      <c r="I95" s="56">
        <f t="shared" ref="I95" si="67">I96+I97</f>
        <v>67411.56</v>
      </c>
      <c r="J95" s="56">
        <f t="shared" si="66"/>
        <v>68244.649999999994</v>
      </c>
      <c r="K95" s="56">
        <f t="shared" si="65"/>
        <v>293693.25799999997</v>
      </c>
      <c r="L95" s="93">
        <f>F95-K95</f>
        <v>-23297.245999999985</v>
      </c>
      <c r="M95" s="94">
        <f>F95/K95*100</f>
        <v>92.067490360980642</v>
      </c>
      <c r="N95" s="56">
        <f t="shared" ref="N95" si="68">N96+N97</f>
        <v>900214.41299999994</v>
      </c>
      <c r="O95" s="93">
        <f>F95-N95</f>
        <v>-629818.40099999995</v>
      </c>
      <c r="P95" s="94">
        <f>F95/N95*100</f>
        <v>30.036845455394857</v>
      </c>
      <c r="Q95" s="94">
        <f t="shared" si="61"/>
        <v>29.936643871598513</v>
      </c>
      <c r="R95" s="49">
        <f t="shared" ref="R95" si="69">R96+R97</f>
        <v>218031.98200000002</v>
      </c>
      <c r="S95" s="93">
        <f>F95-R95</f>
        <v>52364.02999999997</v>
      </c>
      <c r="T95" s="94">
        <f>F95/R95*100</f>
        <v>124.01667384741748</v>
      </c>
    </row>
    <row r="96" spans="1:22" s="173" customFormat="1" ht="23.25" hidden="1" x14ac:dyDescent="0.35">
      <c r="A96" s="171"/>
      <c r="B96" s="172" t="s">
        <v>101</v>
      </c>
      <c r="C96" s="172"/>
      <c r="D96" s="131">
        <f>D62+D87</f>
        <v>878600.29999999993</v>
      </c>
      <c r="E96" s="131" t="e">
        <f>E62+E87</f>
        <v>#REF!</v>
      </c>
      <c r="F96" s="134">
        <f t="shared" si="50"/>
        <v>263550.8</v>
      </c>
      <c r="G96" s="131">
        <f>G62+G87</f>
        <v>65887.7</v>
      </c>
      <c r="H96" s="131">
        <f>H62+H87</f>
        <v>65887.7</v>
      </c>
      <c r="I96" s="131">
        <f>I62+I87</f>
        <v>65887.7</v>
      </c>
      <c r="J96" s="131">
        <f>J62+J87</f>
        <v>65887.7</v>
      </c>
      <c r="K96" s="131">
        <f>K62+K87</f>
        <v>286467</v>
      </c>
      <c r="L96" s="128">
        <f>F96-K96</f>
        <v>-22916.200000000012</v>
      </c>
      <c r="M96" s="129">
        <f>F96/K96*100</f>
        <v>92.00040493320347</v>
      </c>
      <c r="N96" s="131">
        <f>N62+N87</f>
        <v>878600.29999999993</v>
      </c>
      <c r="O96" s="128">
        <f>F96-N96</f>
        <v>-615049.5</v>
      </c>
      <c r="P96" s="129">
        <f>F96/N96*100</f>
        <v>29.996666288413515</v>
      </c>
      <c r="Q96" s="129">
        <f t="shared" si="61"/>
        <v>29.996666288413515</v>
      </c>
      <c r="R96" s="134">
        <f>R62+R87</f>
        <v>208331.6</v>
      </c>
      <c r="S96" s="128">
        <f>F96-R96</f>
        <v>55219.199999999983</v>
      </c>
      <c r="T96" s="129">
        <f>F96/R96*100</f>
        <v>126.50543652523187</v>
      </c>
    </row>
    <row r="97" spans="1:22" s="173" customFormat="1" ht="23.25" hidden="1" x14ac:dyDescent="0.35">
      <c r="A97" s="171"/>
      <c r="B97" s="172" t="s">
        <v>100</v>
      </c>
      <c r="C97" s="172"/>
      <c r="D97" s="131">
        <f>D88+D63</f>
        <v>24627.24</v>
      </c>
      <c r="E97" s="131">
        <f>E88+E63</f>
        <v>26319.402000000002</v>
      </c>
      <c r="F97" s="134">
        <f t="shared" si="50"/>
        <v>6845.2119999999995</v>
      </c>
      <c r="G97" s="131">
        <f>G88+G63</f>
        <v>1373.8319999999999</v>
      </c>
      <c r="H97" s="131">
        <f>H88+H63</f>
        <v>1590.57</v>
      </c>
      <c r="I97" s="131">
        <f>I88+I63</f>
        <v>1523.86</v>
      </c>
      <c r="J97" s="131">
        <f>J88+J63</f>
        <v>2356.9499999999998</v>
      </c>
      <c r="K97" s="131">
        <f>K88+K63</f>
        <v>7226.2579999999998</v>
      </c>
      <c r="L97" s="128">
        <f>F97-K97</f>
        <v>-381.04600000000028</v>
      </c>
      <c r="M97" s="129">
        <f>F97/K97*100</f>
        <v>94.726925055817262</v>
      </c>
      <c r="N97" s="131">
        <f>N88+N63</f>
        <v>21614.113000000001</v>
      </c>
      <c r="O97" s="128">
        <f>F97-N97</f>
        <v>-14768.901000000002</v>
      </c>
      <c r="P97" s="129">
        <f>F97/N97*100</f>
        <v>31.67010369567328</v>
      </c>
      <c r="Q97" s="129">
        <f t="shared" si="61"/>
        <v>27.795286844973287</v>
      </c>
      <c r="R97" s="134">
        <f>R88+R63</f>
        <v>9700.3820000000014</v>
      </c>
      <c r="S97" s="128">
        <f>F97-R97</f>
        <v>-2855.1700000000019</v>
      </c>
      <c r="T97" s="129">
        <f>F97/R97*100</f>
        <v>70.566416868943904</v>
      </c>
    </row>
    <row r="98" spans="1:22" s="8" customFormat="1" ht="23.25" x14ac:dyDescent="0.25">
      <c r="A98" s="28"/>
      <c r="B98" s="45"/>
      <c r="C98" s="17"/>
      <c r="D98" s="131"/>
      <c r="E98" s="131"/>
      <c r="F98" s="134"/>
      <c r="G98" s="131"/>
      <c r="H98" s="131"/>
      <c r="I98" s="131"/>
      <c r="J98" s="131"/>
      <c r="K98" s="131"/>
      <c r="L98" s="128"/>
      <c r="M98" s="129"/>
      <c r="N98" s="131"/>
      <c r="O98" s="128"/>
      <c r="P98" s="129"/>
      <c r="Q98" s="129"/>
      <c r="R98" s="134"/>
      <c r="S98" s="128"/>
      <c r="T98" s="129"/>
    </row>
    <row r="99" spans="1:22" s="166" customFormat="1" ht="48.75" customHeight="1" x14ac:dyDescent="0.3">
      <c r="A99" s="168"/>
      <c r="B99" s="160" t="s">
        <v>141</v>
      </c>
      <c r="C99" s="167"/>
      <c r="D99" s="162">
        <f>D92+D94</f>
        <v>5493661.4369999999</v>
      </c>
      <c r="E99" s="162" t="e">
        <f>E92+E94</f>
        <v>#REF!</v>
      </c>
      <c r="F99" s="162">
        <f t="shared" si="50"/>
        <v>1639958.585</v>
      </c>
      <c r="G99" s="162">
        <f>G92+G94</f>
        <v>388043.02200000011</v>
      </c>
      <c r="H99" s="162">
        <f>H92+H94</f>
        <v>469695.80799999996</v>
      </c>
      <c r="I99" s="162">
        <f>I92+I94</f>
        <v>381084.42200000002</v>
      </c>
      <c r="J99" s="162">
        <f>J92+J94</f>
        <v>401135.33299999998</v>
      </c>
      <c r="K99" s="162">
        <f>K92+K94</f>
        <v>1635681.4680000001</v>
      </c>
      <c r="L99" s="163">
        <f>F99-K99</f>
        <v>4277.1169999998529</v>
      </c>
      <c r="M99" s="164">
        <f>F99/K99*100</f>
        <v>100.26148838167308</v>
      </c>
      <c r="N99" s="162">
        <f>N90+N65</f>
        <v>2449692.3786666668</v>
      </c>
      <c r="O99" s="163">
        <f>F99-N99</f>
        <v>-809733.79366666684</v>
      </c>
      <c r="P99" s="164">
        <f>F99/N99*100</f>
        <v>66.94549075964413</v>
      </c>
      <c r="Q99" s="164">
        <f t="shared" si="61"/>
        <v>29.85183203964522</v>
      </c>
      <c r="R99" s="162">
        <f>R92+R94</f>
        <v>1400395.7279999999</v>
      </c>
      <c r="S99" s="163">
        <f>F99-R99</f>
        <v>239562.85700000008</v>
      </c>
      <c r="T99" s="164">
        <f>F99/R99*100</f>
        <v>117.1067971866878</v>
      </c>
      <c r="U99" s="162">
        <v>1400395.7279999999</v>
      </c>
      <c r="V99" s="162">
        <f>U99-R99</f>
        <v>0</v>
      </c>
    </row>
    <row r="100" spans="1:22" s="15" customFormat="1" ht="3.75" customHeight="1" x14ac:dyDescent="0.3">
      <c r="A100" s="37"/>
      <c r="B100" s="38"/>
      <c r="C100" s="39"/>
      <c r="D100" s="39"/>
      <c r="E100" s="40"/>
      <c r="F100" s="105"/>
      <c r="G100" s="40"/>
      <c r="H100" s="40"/>
      <c r="I100" s="40"/>
      <c r="J100" s="40"/>
      <c r="K100" s="40"/>
      <c r="L100" s="96"/>
      <c r="M100" s="97"/>
      <c r="N100" s="40"/>
      <c r="O100" s="96"/>
      <c r="P100" s="97"/>
      <c r="Q100" s="97"/>
      <c r="R100" s="105"/>
      <c r="S100" s="96"/>
      <c r="T100" s="97"/>
    </row>
    <row r="101" spans="1:22" s="15" customFormat="1" ht="39" customHeight="1" x14ac:dyDescent="0.4">
      <c r="A101" s="37"/>
      <c r="B101" s="22" t="s">
        <v>90</v>
      </c>
      <c r="C101" s="22"/>
      <c r="D101" s="22"/>
      <c r="E101" s="22"/>
      <c r="F101" s="22" t="s">
        <v>91</v>
      </c>
      <c r="G101" s="22"/>
      <c r="H101" s="22"/>
      <c r="I101" s="22"/>
      <c r="J101" s="22"/>
      <c r="K101" s="40"/>
      <c r="L101" s="96"/>
      <c r="M101" s="97"/>
      <c r="N101" s="40"/>
      <c r="O101" s="96"/>
      <c r="P101" s="97"/>
      <c r="Q101" s="97"/>
      <c r="R101" s="22"/>
      <c r="S101" s="96"/>
      <c r="T101" s="97"/>
    </row>
    <row r="102" spans="1:22" s="8" customFormat="1" ht="18" customHeight="1" x14ac:dyDescent="0.45">
      <c r="A102" s="6"/>
      <c r="B102" s="31" t="s">
        <v>50</v>
      </c>
      <c r="C102" s="19"/>
      <c r="D102" s="19"/>
      <c r="E102" s="19"/>
      <c r="F102" s="21"/>
      <c r="G102" s="21"/>
      <c r="H102" s="21"/>
      <c r="I102" s="21"/>
      <c r="J102" s="21"/>
      <c r="K102" s="7"/>
      <c r="L102" s="98"/>
      <c r="M102" s="99"/>
      <c r="N102" s="7"/>
      <c r="O102" s="98"/>
      <c r="P102" s="99"/>
      <c r="Q102" s="99"/>
      <c r="R102" s="21"/>
      <c r="S102" s="98"/>
      <c r="T102" s="99"/>
    </row>
    <row r="103" spans="1:22" s="8" customFormat="1" ht="30.75" hidden="1" x14ac:dyDescent="0.45">
      <c r="A103" s="6"/>
      <c r="B103" s="19"/>
      <c r="C103" s="19"/>
      <c r="D103" s="19"/>
      <c r="E103" s="144"/>
      <c r="F103" s="59"/>
      <c r="G103" s="21"/>
      <c r="H103" s="21"/>
      <c r="I103" s="21"/>
      <c r="J103" s="21"/>
      <c r="K103" s="7"/>
      <c r="L103" s="98"/>
      <c r="M103" s="99"/>
      <c r="N103" s="7"/>
      <c r="O103" s="98"/>
      <c r="P103" s="99"/>
      <c r="Q103" s="99"/>
      <c r="R103" s="59"/>
      <c r="S103" s="98"/>
      <c r="T103" s="99"/>
    </row>
    <row r="104" spans="1:22" s="4" customFormat="1" ht="30.75" hidden="1" x14ac:dyDescent="0.45">
      <c r="A104" s="29"/>
      <c r="B104" s="19"/>
      <c r="C104" s="19"/>
      <c r="D104" s="116">
        <v>5493661.4369999999</v>
      </c>
      <c r="E104" s="116">
        <v>4242798.9189999998</v>
      </c>
      <c r="F104" s="65">
        <v>1639958.585</v>
      </c>
      <c r="G104" s="65">
        <v>388043.022</v>
      </c>
      <c r="H104" s="65">
        <v>469695.80800000002</v>
      </c>
      <c r="I104" s="65">
        <v>381084.42200000002</v>
      </c>
      <c r="J104" s="65">
        <v>401135.33299999998</v>
      </c>
      <c r="K104" s="65">
        <v>1635681.4680000001</v>
      </c>
      <c r="L104" s="5"/>
      <c r="M104" s="5"/>
      <c r="N104" s="22"/>
      <c r="O104" s="5"/>
      <c r="P104" s="5"/>
      <c r="Q104" s="5"/>
      <c r="R104" s="65"/>
      <c r="S104" s="5"/>
    </row>
    <row r="105" spans="1:22" ht="12" hidden="1" customHeight="1" x14ac:dyDescent="0.45">
      <c r="B105" s="31"/>
      <c r="C105" s="21"/>
      <c r="D105" s="21"/>
      <c r="E105" s="21"/>
      <c r="F105" s="59"/>
      <c r="G105" s="59"/>
      <c r="H105" s="21"/>
      <c r="I105" s="21"/>
      <c r="J105" s="21"/>
      <c r="R105" s="59"/>
    </row>
    <row r="106" spans="1:22" s="2" customFormat="1" ht="30.75" hidden="1" customHeight="1" x14ac:dyDescent="0.45">
      <c r="A106" s="30"/>
      <c r="B106" s="19"/>
      <c r="C106" s="19"/>
      <c r="D106" s="19"/>
      <c r="E106" s="19"/>
      <c r="F106" s="59"/>
      <c r="G106" s="59"/>
      <c r="H106" s="21"/>
      <c r="I106" s="21"/>
      <c r="J106" s="21"/>
      <c r="L106" s="155"/>
      <c r="M106" s="155"/>
      <c r="N106" s="155"/>
      <c r="O106" s="155"/>
      <c r="P106" s="155"/>
      <c r="Q106" s="155"/>
      <c r="R106" s="59"/>
      <c r="S106" s="155"/>
    </row>
    <row r="107" spans="1:22" s="2" customFormat="1" ht="30.75" hidden="1" customHeight="1" x14ac:dyDescent="0.45">
      <c r="A107" s="30"/>
      <c r="B107" s="19"/>
      <c r="C107" s="19"/>
      <c r="D107" s="19"/>
      <c r="E107" s="19"/>
      <c r="F107" s="59"/>
      <c r="G107" s="59"/>
      <c r="H107" s="21"/>
      <c r="I107" s="21"/>
      <c r="J107" s="21"/>
      <c r="L107" s="155"/>
      <c r="M107" s="155"/>
      <c r="N107" s="155"/>
      <c r="O107" s="155"/>
      <c r="P107" s="155"/>
      <c r="Q107" s="155"/>
      <c r="R107" s="59"/>
      <c r="S107" s="155"/>
    </row>
    <row r="108" spans="1:22" s="2" customFormat="1" ht="16.5" hidden="1" customHeight="1" x14ac:dyDescent="0.45">
      <c r="A108" s="30"/>
      <c r="B108" s="31"/>
      <c r="C108" s="21"/>
      <c r="D108" s="21"/>
      <c r="E108" s="21"/>
      <c r="F108" s="59"/>
      <c r="G108" s="59"/>
      <c r="H108" s="21"/>
      <c r="I108" s="21"/>
      <c r="J108" s="21"/>
      <c r="L108" s="155"/>
      <c r="M108" s="155"/>
      <c r="N108" s="155"/>
      <c r="O108" s="155"/>
      <c r="P108" s="155"/>
      <c r="Q108" s="155"/>
      <c r="R108" s="59"/>
      <c r="S108" s="155"/>
    </row>
    <row r="109" spans="1:22" ht="18.75" hidden="1" x14ac:dyDescent="0.3">
      <c r="B109" s="29"/>
      <c r="D109" s="116">
        <f t="shared" ref="D109:K109" si="70">D104-D99</f>
        <v>0</v>
      </c>
      <c r="E109" s="116" t="e">
        <f t="shared" si="70"/>
        <v>#REF!</v>
      </c>
      <c r="F109" s="116">
        <f t="shared" si="70"/>
        <v>0</v>
      </c>
      <c r="G109" s="116">
        <f t="shared" si="70"/>
        <v>0</v>
      </c>
      <c r="H109" s="116">
        <f t="shared" si="70"/>
        <v>0</v>
      </c>
      <c r="I109" s="116">
        <f t="shared" si="70"/>
        <v>0</v>
      </c>
      <c r="J109" s="116">
        <f t="shared" si="70"/>
        <v>0</v>
      </c>
      <c r="K109" s="116">
        <f t="shared" si="70"/>
        <v>0</v>
      </c>
      <c r="L109" s="187" t="s">
        <v>47</v>
      </c>
      <c r="M109" s="187"/>
      <c r="N109" s="101">
        <f>D46/12*4</f>
        <v>1463153.3283333331</v>
      </c>
      <c r="R109" s="116"/>
    </row>
    <row r="110" spans="1:22" ht="18.75" hidden="1" x14ac:dyDescent="0.3">
      <c r="B110" s="29"/>
      <c r="K110" s="118"/>
      <c r="L110" s="155"/>
      <c r="M110" s="155"/>
      <c r="N110" s="101">
        <f>N109-N46</f>
        <v>0</v>
      </c>
    </row>
    <row r="111" spans="1:22" ht="18.75" hidden="1" x14ac:dyDescent="0.3">
      <c r="B111" s="4"/>
      <c r="C111" s="3"/>
      <c r="D111" s="3"/>
      <c r="E111" s="117">
        <v>4242798.9189999998</v>
      </c>
      <c r="F111" s="117"/>
      <c r="L111" s="187" t="s">
        <v>48</v>
      </c>
      <c r="M111" s="187"/>
      <c r="N111" s="100">
        <f>D82/12*4</f>
        <v>57324.637333333339</v>
      </c>
      <c r="R111" s="117"/>
    </row>
    <row r="112" spans="1:22" ht="18.75" hidden="1" x14ac:dyDescent="0.3">
      <c r="B112" s="4"/>
      <c r="C112" s="3"/>
      <c r="D112" s="3"/>
      <c r="E112" s="3"/>
      <c r="F112" s="3"/>
      <c r="L112" s="155"/>
      <c r="M112" s="155"/>
      <c r="N112" s="101">
        <f>N111-N82</f>
        <v>0</v>
      </c>
      <c r="R112" s="3"/>
    </row>
    <row r="113" spans="2:45" ht="22.5" hidden="1" x14ac:dyDescent="0.3">
      <c r="B113" s="4"/>
      <c r="C113" s="3"/>
      <c r="D113" s="3"/>
      <c r="E113" s="145"/>
      <c r="F113" s="145"/>
      <c r="L113" s="187" t="s">
        <v>49</v>
      </c>
      <c r="M113" s="187"/>
      <c r="N113" s="101">
        <f>N111+N86</f>
        <v>80240.837333333344</v>
      </c>
      <c r="R113" s="145"/>
    </row>
    <row r="114" spans="2:45" ht="18.75" hidden="1" x14ac:dyDescent="0.3">
      <c r="B114" s="4"/>
      <c r="C114" s="3"/>
      <c r="D114" s="3"/>
      <c r="E114" s="3"/>
      <c r="L114" s="155"/>
      <c r="M114" s="155"/>
      <c r="N114" s="101">
        <f>N113-N90</f>
        <v>0</v>
      </c>
    </row>
    <row r="115" spans="2:45" ht="18.75" hidden="1" x14ac:dyDescent="0.3">
      <c r="B115" s="4"/>
      <c r="C115" s="3"/>
      <c r="D115" s="3"/>
      <c r="E115" s="3"/>
    </row>
    <row r="116" spans="2:45" ht="18.75" x14ac:dyDescent="0.3">
      <c r="B116" s="147"/>
      <c r="C116" s="3"/>
      <c r="D116" s="3"/>
      <c r="E116" s="3"/>
    </row>
    <row r="117" spans="2:45" ht="18.75" x14ac:dyDescent="0.3">
      <c r="B117" s="4"/>
      <c r="C117" s="3"/>
      <c r="D117" s="3"/>
      <c r="E117" s="3"/>
    </row>
    <row r="118" spans="2:45" s="20" customFormat="1" ht="18.75" x14ac:dyDescent="0.3">
      <c r="B118" s="4"/>
      <c r="C118" s="3"/>
      <c r="D118" s="3"/>
      <c r="E118" s="3"/>
      <c r="F118" s="33"/>
      <c r="G118" s="3"/>
      <c r="H118" s="3"/>
      <c r="I118" s="3"/>
      <c r="J118" s="3"/>
      <c r="K118" s="3"/>
      <c r="L118" s="1"/>
      <c r="M118" s="1"/>
      <c r="N118" s="1"/>
      <c r="O118" s="1"/>
      <c r="P118" s="1"/>
      <c r="Q118" s="1"/>
      <c r="R118" s="33"/>
      <c r="S118" s="1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2:45" s="20" customFormat="1" ht="18.75" x14ac:dyDescent="0.3">
      <c r="B119" s="4"/>
      <c r="C119" s="3"/>
      <c r="D119" s="3"/>
      <c r="E119" s="117"/>
      <c r="F119" s="148"/>
      <c r="G119" s="3"/>
      <c r="H119" s="3"/>
      <c r="I119" s="3"/>
      <c r="J119" s="3"/>
      <c r="K119" s="3"/>
      <c r="L119" s="1"/>
      <c r="M119" s="1"/>
      <c r="N119" s="1"/>
      <c r="O119" s="1"/>
      <c r="P119" s="1"/>
      <c r="Q119" s="1"/>
      <c r="R119" s="148"/>
      <c r="S119" s="1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2:45" s="20" customFormat="1" ht="18.75" x14ac:dyDescent="0.3">
      <c r="B120" s="4"/>
      <c r="C120" s="3"/>
      <c r="D120" s="149"/>
      <c r="E120" s="3"/>
      <c r="F120" s="33"/>
      <c r="G120" s="3"/>
      <c r="H120" s="3"/>
      <c r="I120" s="3"/>
      <c r="J120" s="3"/>
      <c r="K120" s="3"/>
      <c r="L120" s="1"/>
      <c r="M120" s="1"/>
      <c r="N120" s="1"/>
      <c r="O120" s="1"/>
      <c r="P120" s="1"/>
      <c r="Q120" s="1"/>
      <c r="R120" s="33"/>
      <c r="S120" s="1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2:45" s="20" customFormat="1" ht="18.75" x14ac:dyDescent="0.3">
      <c r="B121" s="4"/>
      <c r="C121" s="3"/>
      <c r="D121" s="3"/>
      <c r="E121" s="3"/>
      <c r="F121" s="33"/>
      <c r="G121" s="3"/>
      <c r="H121" s="3"/>
      <c r="I121" s="3"/>
      <c r="J121" s="3"/>
      <c r="K121" s="3"/>
      <c r="L121" s="1"/>
      <c r="M121" s="1"/>
      <c r="N121" s="1"/>
      <c r="O121" s="1"/>
      <c r="P121" s="1"/>
      <c r="Q121" s="1"/>
      <c r="R121" s="33"/>
      <c r="S121" s="1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2:45" s="20" customFormat="1" ht="22.5" x14ac:dyDescent="0.3">
      <c r="B122" s="4"/>
      <c r="C122" s="3"/>
      <c r="D122" s="146"/>
      <c r="E122" s="3"/>
      <c r="F122" s="33"/>
      <c r="G122" s="3"/>
      <c r="H122" s="3"/>
      <c r="I122" s="3"/>
      <c r="J122" s="3"/>
      <c r="K122" s="3"/>
      <c r="L122" s="1"/>
      <c r="M122" s="1"/>
      <c r="N122" s="1"/>
      <c r="O122" s="1"/>
      <c r="P122" s="1"/>
      <c r="Q122" s="1"/>
      <c r="R122" s="33"/>
      <c r="S122" s="1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2:45" s="20" customFormat="1" ht="18.75" x14ac:dyDescent="0.3">
      <c r="B123" s="4"/>
      <c r="C123" s="3"/>
      <c r="D123" s="3"/>
      <c r="E123" s="3"/>
      <c r="F123" s="148"/>
      <c r="G123" s="3"/>
      <c r="H123" s="3"/>
      <c r="I123" s="3"/>
      <c r="J123" s="3"/>
      <c r="K123" s="3"/>
      <c r="L123" s="1"/>
      <c r="M123" s="1"/>
      <c r="N123" s="1"/>
      <c r="O123" s="1"/>
      <c r="P123" s="1"/>
      <c r="Q123" s="1"/>
      <c r="R123" s="148"/>
      <c r="S123" s="1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2:45" s="20" customFormat="1" ht="18.75" x14ac:dyDescent="0.3">
      <c r="B124" s="4"/>
      <c r="C124" s="3"/>
      <c r="D124" s="3"/>
      <c r="E124" s="3"/>
      <c r="F124" s="33"/>
      <c r="G124" s="3"/>
      <c r="H124" s="3"/>
      <c r="I124" s="3"/>
      <c r="J124" s="3"/>
      <c r="K124" s="3"/>
      <c r="L124" s="1"/>
      <c r="M124" s="1"/>
      <c r="N124" s="1"/>
      <c r="O124" s="1"/>
      <c r="P124" s="1"/>
      <c r="Q124" s="1"/>
      <c r="R124" s="33"/>
      <c r="S124" s="1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2:45" s="20" customFormat="1" ht="18.75" x14ac:dyDescent="0.3">
      <c r="B125" s="4"/>
      <c r="C125" s="3"/>
      <c r="D125" s="3"/>
      <c r="E125" s="3"/>
      <c r="F125" s="33"/>
      <c r="G125" s="3"/>
      <c r="H125" s="3"/>
      <c r="I125" s="3"/>
      <c r="J125" s="3"/>
      <c r="K125" s="3"/>
      <c r="L125" s="1"/>
      <c r="M125" s="1"/>
      <c r="N125" s="1"/>
      <c r="O125" s="1"/>
      <c r="P125" s="1"/>
      <c r="Q125" s="1"/>
      <c r="R125" s="33"/>
      <c r="S125" s="1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2:45" s="20" customFormat="1" ht="18.75" x14ac:dyDescent="0.3">
      <c r="B126" s="29"/>
      <c r="F126" s="33"/>
      <c r="G126" s="3"/>
      <c r="H126" s="3"/>
      <c r="I126" s="3"/>
      <c r="J126" s="3"/>
      <c r="K126" s="3"/>
      <c r="L126" s="1"/>
      <c r="M126" s="1"/>
      <c r="N126" s="1"/>
      <c r="O126" s="1"/>
      <c r="P126" s="1"/>
      <c r="Q126" s="1"/>
      <c r="R126" s="33"/>
      <c r="S126" s="1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2:45" s="20" customFormat="1" ht="18.75" x14ac:dyDescent="0.3">
      <c r="B127" s="29"/>
      <c r="F127" s="33"/>
      <c r="G127" s="3"/>
      <c r="H127" s="3"/>
      <c r="I127" s="3"/>
      <c r="J127" s="3"/>
      <c r="K127" s="3"/>
      <c r="L127" s="1"/>
      <c r="M127" s="1"/>
      <c r="N127" s="1"/>
      <c r="O127" s="1"/>
      <c r="P127" s="1"/>
      <c r="Q127" s="1"/>
      <c r="R127" s="33"/>
      <c r="S127" s="1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</sheetData>
  <mergeCells count="28">
    <mergeCell ref="I3:I4"/>
    <mergeCell ref="P3:P4"/>
    <mergeCell ref="Q3:Q4"/>
    <mergeCell ref="R3:R4"/>
    <mergeCell ref="S3:S4"/>
    <mergeCell ref="J3:J4"/>
    <mergeCell ref="A66:T66"/>
    <mergeCell ref="L111:M111"/>
    <mergeCell ref="L113:M113"/>
    <mergeCell ref="C20:C22"/>
    <mergeCell ref="L109:M109"/>
    <mergeCell ref="A91:T91"/>
    <mergeCell ref="A1:T1"/>
    <mergeCell ref="A6:T6"/>
    <mergeCell ref="G3:G4"/>
    <mergeCell ref="B3:B4"/>
    <mergeCell ref="C3:C4"/>
    <mergeCell ref="D3:D4"/>
    <mergeCell ref="E3:E4"/>
    <mergeCell ref="F3:F4"/>
    <mergeCell ref="A3:A4"/>
    <mergeCell ref="H3:H4"/>
    <mergeCell ref="T3:T4"/>
    <mergeCell ref="K3:K4"/>
    <mergeCell ref="L3:L4"/>
    <mergeCell ref="M3:M4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65" fitToHeight="6" orientation="landscape" horizontalDpi="300" verticalDpi="300" r:id="rId1"/>
  <headerFooter alignWithMargins="0"/>
  <rowBreaks count="1" manualBreakCount="1">
    <brk id="82" max="1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</vt:lpstr>
      <vt:lpstr>'2022'!Заголовки_для_печати</vt:lpstr>
      <vt:lpstr>'2022'!Область_печати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2022-05-02T09:37:45Z</cp:lastPrinted>
  <dcterms:created xsi:type="dcterms:W3CDTF">1996-10-08T23:32:33Z</dcterms:created>
  <dcterms:modified xsi:type="dcterms:W3CDTF">2022-05-05T13:51:43Z</dcterms:modified>
</cp:coreProperties>
</file>